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watercommission-my.sharepoint.com/personal/kirsty_mclean_watercommission_co_uk/Documents/Desktop/AR 2019-20/"/>
    </mc:Choice>
  </mc:AlternateContent>
  <xr:revisionPtr revIDLastSave="0" documentId="8_{37BB1985-1C62-4578-8443-1840F0351985}" xr6:coauthVersionLast="46" xr6:coauthVersionMax="46" xr10:uidLastSave="{00000000-0000-0000-0000-000000000000}"/>
  <bookViews>
    <workbookView xWindow="-110" yWindow="-110" windowWidth="22780" windowHeight="14660" tabRatio="921" firstSheet="1" activeTab="1" xr2:uid="{00000000-000D-0000-FFFF-FFFF00000000}"/>
  </bookViews>
  <sheets>
    <sheet name="summary" sheetId="27" r:id="rId1"/>
    <sheet name="M1" sheetId="1" r:id="rId2"/>
    <sheet name="M2" sheetId="13" r:id="rId3"/>
    <sheet name="M3" sheetId="59" r:id="rId4"/>
    <sheet name="M4" sheetId="11" r:id="rId5"/>
    <sheet name="M5" sheetId="10" r:id="rId6"/>
    <sheet name="M6" sheetId="63" r:id="rId7"/>
    <sheet name="M6-R" sheetId="64" r:id="rId8"/>
    <sheet name="M7" sheetId="8" r:id="rId9"/>
    <sheet name="M11" sheetId="73" r:id="rId10"/>
    <sheet name="M18 W" sheetId="55" r:id="rId11"/>
    <sheet name="M18 WW" sheetId="56" r:id="rId12"/>
    <sheet name="M21" sheetId="62" r:id="rId13"/>
    <sheet name="M22" sheetId="26" r:id="rId14"/>
    <sheet name="M27a" sheetId="71" r:id="rId15"/>
    <sheet name="M28a" sheetId="72" r:id="rId16"/>
    <sheet name="M30" sheetId="67" r:id="rId17"/>
    <sheet name="M31" sheetId="68" r:id="rId18"/>
    <sheet name="report year index" sheetId="57" r:id="rId19"/>
  </sheets>
  <externalReferences>
    <externalReference r:id="rId20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1</definedName>
    <definedName name="_AtRisk_SimSetting_ReportOptionCustomItemSummaryGraphType02" hidden="1">1</definedName>
    <definedName name="_AtRisk_SimSetting_ReportOptionCustomItemSummaryGraphType03" hidden="1">1</definedName>
    <definedName name="_AtRisk_SimSetting_ReportOptionCustomItemSummaryGraphType04" hidden="1">1</definedName>
    <definedName name="_AtRisk_SimSetting_ReportOptionCustomItemSummaryGraphType05" hidden="1">1</definedName>
    <definedName name="_AtRisk_SimSetting_ReportOptionCustomItemSummaryGraphType06" hidden="1">1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Order1" hidden="1">255</definedName>
    <definedName name="_Order2" hidden="1">255</definedName>
    <definedName name="Pal_Workbook_GUID" hidden="1">"XGDIM2DJ1D6LXTZ97BNZ1XL8"</definedName>
    <definedName name="_xlnm.Print_Area" localSheetId="9">'M11'!$A$1:$H$27</definedName>
    <definedName name="_xlnm.Print_Area" localSheetId="2">'M2'!$A$1:$K$51</definedName>
    <definedName name="_xlnm.Print_Area" localSheetId="12">'M21'!$A$1:$I$66</definedName>
    <definedName name="_xlnm.Print_Area" localSheetId="13">'M22'!$A$1:$N$38</definedName>
    <definedName name="_xlnm.Print_Area" localSheetId="14">M27a!$A$1:$L$49</definedName>
    <definedName name="_xlnm.Print_Area" localSheetId="15">M28a!$A$1:$M$48</definedName>
    <definedName name="_xlnm.Print_Area" localSheetId="3">'M3'!$A$1:$I$36</definedName>
    <definedName name="_xlnm.Print_Area" localSheetId="16">'M30'!$A$1:$H$352</definedName>
    <definedName name="_xlnm.Print_Area" localSheetId="17">'M31'!$A$1:$K$27</definedName>
    <definedName name="_xlnm.Print_Area" localSheetId="4">'M4'!$A$1:$I$49</definedName>
    <definedName name="_xlnm.Print_Area" localSheetId="5">'M5'!$A$1:$H$48</definedName>
    <definedName name="_xlnm.Print_Area" localSheetId="8">'M7'!$A$1:$T$39</definedName>
    <definedName name="_xlnm.Print_Area" localSheetId="0">summary!$B$2:$H$18</definedName>
    <definedName name="reportminus1" localSheetId="9">'[1]report year index'!$C$6</definedName>
    <definedName name="reportminus1" localSheetId="14">'[1]report year index'!$C$6</definedName>
    <definedName name="reportminus1" localSheetId="15">'[1]report year index'!$C$6</definedName>
    <definedName name="reportminus1">'report year index'!$C$6</definedName>
    <definedName name="reportminus2">'report year index'!$C$5</definedName>
    <definedName name="reportminus3">'report year index'!$C$4</definedName>
    <definedName name="reportminus4">'report year index'!$C$3</definedName>
    <definedName name="reportminus5">'report year index'!$C$2</definedName>
    <definedName name="reportplus1" localSheetId="9">'[1]report year index'!$C$8</definedName>
    <definedName name="reportplus1" localSheetId="14">'[1]report year index'!$C$8</definedName>
    <definedName name="reportplus1" localSheetId="15">'[1]report year index'!$C$8</definedName>
    <definedName name="reportplus1">'report year index'!$C$8</definedName>
    <definedName name="reportplus2">'report year index'!$C$9</definedName>
    <definedName name="reportplus3">'report year index'!$C$10</definedName>
    <definedName name="reportplus4">'report year index'!$C$11</definedName>
    <definedName name="reportplus5">'report year index'!$C$12</definedName>
    <definedName name="reportyear" localSheetId="9">'[1]report year index'!$C$7</definedName>
    <definedName name="reportyear" localSheetId="14">'[1]report year index'!$C$7</definedName>
    <definedName name="reportyear" localSheetId="15">'[1]report year index'!$C$7</definedName>
    <definedName name="reportyear">'report year index'!$C$7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8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1" l="1"/>
  <c r="I31" i="1"/>
  <c r="W59" i="55"/>
  <c r="R17" i="8"/>
  <c r="H10" i="11"/>
  <c r="O57" i="55"/>
  <c r="Y52" i="55" l="1"/>
  <c r="Y64" i="55" l="1"/>
  <c r="Y65" i="55"/>
  <c r="Y67" i="55"/>
  <c r="G40" i="11"/>
  <c r="F40" i="11"/>
  <c r="F6" i="10"/>
  <c r="G6" i="10"/>
  <c r="F6" i="11"/>
  <c r="G6" i="11"/>
  <c r="S71" i="56" l="1"/>
  <c r="M71" i="56"/>
  <c r="M70" i="56"/>
  <c r="U70" i="56" s="1"/>
  <c r="W70" i="56" s="1"/>
  <c r="U71" i="55"/>
  <c r="K71" i="55"/>
  <c r="O71" i="55" s="1"/>
  <c r="K70" i="55"/>
  <c r="O70" i="55" s="1"/>
  <c r="W70" i="55" s="1"/>
  <c r="Y70" i="55" s="1"/>
  <c r="U71" i="56" l="1"/>
  <c r="W71" i="56" s="1"/>
  <c r="W71" i="55"/>
  <c r="Y71" i="55" s="1"/>
  <c r="F8" i="1" l="1"/>
  <c r="F9" i="1"/>
  <c r="G15" i="72"/>
  <c r="H18" i="73" l="1"/>
  <c r="I27" i="13"/>
  <c r="H38" i="10" l="1"/>
  <c r="H37" i="10"/>
  <c r="H29" i="11" l="1"/>
  <c r="I41" i="13"/>
  <c r="I20" i="1"/>
  <c r="I19" i="1"/>
  <c r="G11" i="71" l="1"/>
  <c r="I12" i="1" l="1"/>
  <c r="K45" i="72" l="1"/>
  <c r="J45" i="72"/>
  <c r="K25" i="72"/>
  <c r="J25" i="72"/>
  <c r="K43" i="72"/>
  <c r="J43" i="72"/>
  <c r="K36" i="72"/>
  <c r="J31" i="72"/>
  <c r="J16" i="72"/>
  <c r="J36" i="72"/>
  <c r="J32" i="72"/>
  <c r="J15" i="72"/>
  <c r="H43" i="62" l="1"/>
  <c r="G46" i="71" l="1"/>
  <c r="J30" i="71"/>
  <c r="K11" i="71" l="1"/>
  <c r="H10" i="71" l="1"/>
  <c r="H65" i="62" l="1"/>
  <c r="G65" i="62"/>
  <c r="F65" i="62"/>
  <c r="H56" i="62"/>
  <c r="G56" i="62"/>
  <c r="G58" i="62" s="1"/>
  <c r="F56" i="62"/>
  <c r="F58" i="62" s="1"/>
  <c r="G53" i="62"/>
  <c r="F53" i="62"/>
  <c r="H53" i="62"/>
  <c r="G43" i="62"/>
  <c r="F43" i="62"/>
  <c r="F14" i="62"/>
  <c r="G14" i="62"/>
  <c r="H14" i="62" s="1"/>
  <c r="H58" i="62" l="1"/>
  <c r="H61" i="62" s="1"/>
  <c r="F61" i="62"/>
  <c r="G61" i="62"/>
  <c r="M82" i="56" l="1"/>
  <c r="U82" i="56" s="1"/>
  <c r="W82" i="56" s="1"/>
  <c r="R84" i="56"/>
  <c r="S79" i="56"/>
  <c r="O81" i="56"/>
  <c r="O84" i="56" s="1"/>
  <c r="M79" i="56"/>
  <c r="M78" i="56"/>
  <c r="U78" i="56" s="1"/>
  <c r="W78" i="56" s="1"/>
  <c r="M77" i="56"/>
  <c r="U77" i="56" s="1"/>
  <c r="W77" i="56" s="1"/>
  <c r="M76" i="56"/>
  <c r="U76" i="56" s="1"/>
  <c r="W76" i="56" s="1"/>
  <c r="M75" i="56"/>
  <c r="U75" i="56" s="1"/>
  <c r="W75" i="56" s="1"/>
  <c r="K81" i="56"/>
  <c r="K84" i="56" s="1"/>
  <c r="M74" i="56"/>
  <c r="U74" i="56" s="1"/>
  <c r="W74" i="56" s="1"/>
  <c r="I81" i="56"/>
  <c r="G84" i="56"/>
  <c r="M65" i="56"/>
  <c r="U65" i="56" s="1"/>
  <c r="W65" i="56" s="1"/>
  <c r="M62" i="56"/>
  <c r="U62" i="56" s="1"/>
  <c r="W62" i="56" s="1"/>
  <c r="S61" i="56"/>
  <c r="U61" i="56" s="1"/>
  <c r="W61" i="56" s="1"/>
  <c r="U60" i="56"/>
  <c r="W60" i="56" s="1"/>
  <c r="K58" i="56"/>
  <c r="G58" i="56"/>
  <c r="U57" i="56"/>
  <c r="W57" i="56" s="1"/>
  <c r="S58" i="56"/>
  <c r="O58" i="56"/>
  <c r="J58" i="56"/>
  <c r="I58" i="56"/>
  <c r="S51" i="56"/>
  <c r="M51" i="56"/>
  <c r="S48" i="56"/>
  <c r="S47" i="56"/>
  <c r="S45" i="56"/>
  <c r="U45" i="56" s="1"/>
  <c r="W45" i="56" s="1"/>
  <c r="S44" i="56"/>
  <c r="U44" i="56" s="1"/>
  <c r="W44" i="56" s="1"/>
  <c r="S43" i="56"/>
  <c r="U43" i="56" s="1"/>
  <c r="W43" i="56" s="1"/>
  <c r="S42" i="56"/>
  <c r="U42" i="56" s="1"/>
  <c r="W42" i="56" s="1"/>
  <c r="S41" i="56"/>
  <c r="U41" i="56" s="1"/>
  <c r="W41" i="56" s="1"/>
  <c r="S40" i="56"/>
  <c r="U40" i="56" s="1"/>
  <c r="W40" i="56" s="1"/>
  <c r="S39" i="56"/>
  <c r="U39" i="56" s="1"/>
  <c r="W39" i="56" s="1"/>
  <c r="S38" i="56"/>
  <c r="U38" i="56" s="1"/>
  <c r="W38" i="56" s="1"/>
  <c r="S37" i="56"/>
  <c r="U37" i="56" s="1"/>
  <c r="W37" i="56" s="1"/>
  <c r="S36" i="56"/>
  <c r="U36" i="56" s="1"/>
  <c r="W36" i="56" s="1"/>
  <c r="S35" i="56"/>
  <c r="U35" i="56" s="1"/>
  <c r="W35" i="56" s="1"/>
  <c r="S34" i="56"/>
  <c r="U34" i="56" s="1"/>
  <c r="W34" i="56" s="1"/>
  <c r="S33" i="56"/>
  <c r="U33" i="56" s="1"/>
  <c r="W33" i="56" s="1"/>
  <c r="S32" i="56"/>
  <c r="U32" i="56" s="1"/>
  <c r="W32" i="56" s="1"/>
  <c r="S31" i="56"/>
  <c r="U31" i="56" s="1"/>
  <c r="W31" i="56" s="1"/>
  <c r="R50" i="56"/>
  <c r="R53" i="56" s="1"/>
  <c r="R67" i="56" s="1"/>
  <c r="R86" i="56" s="1"/>
  <c r="S30" i="56"/>
  <c r="U30" i="56" s="1"/>
  <c r="W30" i="56" s="1"/>
  <c r="S29" i="56"/>
  <c r="U29" i="56" s="1"/>
  <c r="W29" i="56" s="1"/>
  <c r="S28" i="56"/>
  <c r="U28" i="56" s="1"/>
  <c r="W28" i="56" s="1"/>
  <c r="S27" i="56"/>
  <c r="U27" i="56" s="1"/>
  <c r="W27" i="56" s="1"/>
  <c r="Q50" i="56"/>
  <c r="Q53" i="56" s="1"/>
  <c r="Q67" i="56" s="1"/>
  <c r="O50" i="56"/>
  <c r="O53" i="56" s="1"/>
  <c r="K50" i="56"/>
  <c r="K53" i="56" s="1"/>
  <c r="K64" i="56" s="1"/>
  <c r="K67" i="56" s="1"/>
  <c r="J50" i="56"/>
  <c r="J53" i="56" s="1"/>
  <c r="M24" i="56"/>
  <c r="U24" i="56" s="1"/>
  <c r="W24" i="56" s="1"/>
  <c r="G50" i="56"/>
  <c r="G53" i="56" s="1"/>
  <c r="G67" i="56" s="1"/>
  <c r="I50" i="56"/>
  <c r="I53" i="56" s="1"/>
  <c r="U22" i="56"/>
  <c r="W22" i="56" s="1"/>
  <c r="M20" i="56"/>
  <c r="U20" i="56" s="1"/>
  <c r="W20" i="56" s="1"/>
  <c r="M19" i="56"/>
  <c r="U19" i="56" s="1"/>
  <c r="W19" i="56" s="1"/>
  <c r="M18" i="56"/>
  <c r="U18" i="56" s="1"/>
  <c r="W18" i="56" s="1"/>
  <c r="M17" i="56"/>
  <c r="U17" i="56" s="1"/>
  <c r="W17" i="56" s="1"/>
  <c r="M16" i="56"/>
  <c r="U16" i="56" s="1"/>
  <c r="W16" i="56" s="1"/>
  <c r="M15" i="56"/>
  <c r="U15" i="56" s="1"/>
  <c r="W15" i="56" s="1"/>
  <c r="M14" i="56"/>
  <c r="O82" i="55"/>
  <c r="W82" i="55" s="1"/>
  <c r="Y82" i="55" s="1"/>
  <c r="U81" i="55"/>
  <c r="Q81" i="55"/>
  <c r="Q84" i="55" s="1"/>
  <c r="O79" i="55"/>
  <c r="W79" i="55" s="1"/>
  <c r="Y79" i="55" s="1"/>
  <c r="O78" i="55"/>
  <c r="W78" i="55" s="1"/>
  <c r="Y78" i="55" s="1"/>
  <c r="O77" i="55"/>
  <c r="W77" i="55" s="1"/>
  <c r="Y77" i="55" s="1"/>
  <c r="O76" i="55"/>
  <c r="W76" i="55" s="1"/>
  <c r="Y76" i="55" s="1"/>
  <c r="O75" i="55"/>
  <c r="W75" i="55" s="1"/>
  <c r="Y75" i="55" s="1"/>
  <c r="G84" i="55"/>
  <c r="O74" i="55"/>
  <c r="W74" i="55" s="1"/>
  <c r="Y74" i="55" s="1"/>
  <c r="M81" i="55"/>
  <c r="M84" i="55" s="1"/>
  <c r="K81" i="55"/>
  <c r="O65" i="55"/>
  <c r="W65" i="55" s="1"/>
  <c r="O62" i="55"/>
  <c r="W62" i="55" s="1"/>
  <c r="Y62" i="55" s="1"/>
  <c r="U60" i="55"/>
  <c r="W60" i="55" s="1"/>
  <c r="Y60" i="55" s="1"/>
  <c r="O59" i="55"/>
  <c r="Y59" i="55" s="1"/>
  <c r="K57" i="55"/>
  <c r="W56" i="55"/>
  <c r="Y56" i="55" s="1"/>
  <c r="U57" i="55"/>
  <c r="Q57" i="55"/>
  <c r="O55" i="55"/>
  <c r="M57" i="55"/>
  <c r="G57" i="55"/>
  <c r="U50" i="55"/>
  <c r="W50" i="55" s="1"/>
  <c r="Y50" i="55" s="1"/>
  <c r="K50" i="55"/>
  <c r="O50" i="55" s="1"/>
  <c r="U46" i="55"/>
  <c r="U45" i="55"/>
  <c r="U43" i="55"/>
  <c r="W43" i="55"/>
  <c r="Y43" i="55" s="1"/>
  <c r="U42" i="55"/>
  <c r="W42" i="55" s="1"/>
  <c r="Y42" i="55" s="1"/>
  <c r="U41" i="55"/>
  <c r="W41" i="55" s="1"/>
  <c r="Y41" i="55" s="1"/>
  <c r="U40" i="55"/>
  <c r="U39" i="55"/>
  <c r="W39" i="55" s="1"/>
  <c r="Y39" i="55" s="1"/>
  <c r="U38" i="55"/>
  <c r="U37" i="55"/>
  <c r="W37" i="55"/>
  <c r="Y37" i="55" s="1"/>
  <c r="U36" i="55"/>
  <c r="U35" i="55"/>
  <c r="W35" i="55" s="1"/>
  <c r="Y35" i="55" s="1"/>
  <c r="U34" i="55"/>
  <c r="W34" i="55" s="1"/>
  <c r="Y34" i="55" s="1"/>
  <c r="U33" i="55"/>
  <c r="W33" i="55" s="1"/>
  <c r="Y33" i="55" s="1"/>
  <c r="U32" i="55"/>
  <c r="U31" i="55"/>
  <c r="W31" i="55" s="1"/>
  <c r="Y31" i="55" s="1"/>
  <c r="U30" i="55"/>
  <c r="W30" i="55" s="1"/>
  <c r="Y30" i="55" s="1"/>
  <c r="U29" i="55"/>
  <c r="W29" i="55" s="1"/>
  <c r="Y29" i="55" s="1"/>
  <c r="U28" i="55"/>
  <c r="T49" i="55"/>
  <c r="T52" i="55" s="1"/>
  <c r="U27" i="55"/>
  <c r="W27" i="55" s="1"/>
  <c r="Y27" i="55" s="1"/>
  <c r="U26" i="55"/>
  <c r="W26" i="55" s="1"/>
  <c r="Y26" i="55" s="1"/>
  <c r="U25" i="55"/>
  <c r="W25" i="55"/>
  <c r="Y25" i="55" s="1"/>
  <c r="U24" i="55"/>
  <c r="Q49" i="55"/>
  <c r="Q52" i="55" s="1"/>
  <c r="Q64" i="55" s="1"/>
  <c r="Q67" i="55" s="1"/>
  <c r="Q86" i="55" s="1"/>
  <c r="J49" i="55"/>
  <c r="J52" i="55" s="1"/>
  <c r="I49" i="55"/>
  <c r="I52" i="55" s="1"/>
  <c r="G49" i="55"/>
  <c r="G52" i="55" s="1"/>
  <c r="O21" i="55"/>
  <c r="W21" i="55" s="1"/>
  <c r="Y21" i="55" s="1"/>
  <c r="W20" i="55"/>
  <c r="Y20" i="55" s="1"/>
  <c r="K19" i="55"/>
  <c r="O19" i="55" s="1"/>
  <c r="W19" i="55" s="1"/>
  <c r="Y19" i="55" s="1"/>
  <c r="K18" i="55"/>
  <c r="O18" i="55" s="1"/>
  <c r="W18" i="55" s="1"/>
  <c r="Y18" i="55" s="1"/>
  <c r="K17" i="55"/>
  <c r="O17" i="55" s="1"/>
  <c r="W17" i="55" s="1"/>
  <c r="Y17" i="55" s="1"/>
  <c r="K16" i="55"/>
  <c r="O16" i="55" s="1"/>
  <c r="W16" i="55" s="1"/>
  <c r="Y16" i="55" s="1"/>
  <c r="K15" i="55"/>
  <c r="O15" i="55" s="1"/>
  <c r="W15" i="55" s="1"/>
  <c r="Y15" i="55" s="1"/>
  <c r="K14" i="55"/>
  <c r="O14" i="55" s="1"/>
  <c r="U51" i="56" l="1"/>
  <c r="W51" i="56" s="1"/>
  <c r="W57" i="55"/>
  <c r="Y57" i="55" s="1"/>
  <c r="G67" i="55"/>
  <c r="G86" i="55" s="1"/>
  <c r="K86" i="56"/>
  <c r="J64" i="56"/>
  <c r="J67" i="56" s="1"/>
  <c r="I84" i="56"/>
  <c r="U14" i="56"/>
  <c r="W14" i="56" s="1"/>
  <c r="O64" i="56"/>
  <c r="O67" i="56" s="1"/>
  <c r="O86" i="56" s="1"/>
  <c r="S81" i="56"/>
  <c r="S84" i="56" s="1"/>
  <c r="I64" i="56"/>
  <c r="I67" i="56" s="1"/>
  <c r="M53" i="56"/>
  <c r="G86" i="56"/>
  <c r="U79" i="56"/>
  <c r="W79" i="56" s="1"/>
  <c r="Q84" i="56"/>
  <c r="Q86" i="56" s="1"/>
  <c r="S26" i="56"/>
  <c r="M56" i="56"/>
  <c r="J81" i="56"/>
  <c r="J84" i="56" s="1"/>
  <c r="M23" i="56"/>
  <c r="U23" i="56" s="1"/>
  <c r="W23" i="56" s="1"/>
  <c r="W36" i="55"/>
  <c r="Y36" i="55" s="1"/>
  <c r="W38" i="55"/>
  <c r="Y38" i="55" s="1"/>
  <c r="W40" i="55"/>
  <c r="Y40" i="55" s="1"/>
  <c r="W32" i="55"/>
  <c r="Y32" i="55" s="1"/>
  <c r="O81" i="55"/>
  <c r="W81" i="55" s="1"/>
  <c r="Y81" i="55" s="1"/>
  <c r="K84" i="55"/>
  <c r="O84" i="55" s="1"/>
  <c r="W28" i="55"/>
  <c r="Y28" i="55" s="1"/>
  <c r="W14" i="55"/>
  <c r="Y14" i="55" s="1"/>
  <c r="K22" i="55"/>
  <c r="W55" i="55"/>
  <c r="Y55" i="55" s="1"/>
  <c r="M49" i="55"/>
  <c r="M52" i="55" s="1"/>
  <c r="M64" i="55" s="1"/>
  <c r="M67" i="55" s="1"/>
  <c r="M86" i="55" s="1"/>
  <c r="W24" i="55"/>
  <c r="Y24" i="55" s="1"/>
  <c r="S49" i="55"/>
  <c r="U84" i="55"/>
  <c r="W84" i="55" l="1"/>
  <c r="Y84" i="55" s="1"/>
  <c r="J86" i="56"/>
  <c r="U56" i="56"/>
  <c r="M58" i="56"/>
  <c r="M64" i="56"/>
  <c r="I86" i="56"/>
  <c r="M84" i="56"/>
  <c r="U84" i="56" s="1"/>
  <c r="W84" i="56" s="1"/>
  <c r="S50" i="56"/>
  <c r="S53" i="56" s="1"/>
  <c r="S64" i="56" s="1"/>
  <c r="S67" i="56" s="1"/>
  <c r="S86" i="56" s="1"/>
  <c r="U26" i="56"/>
  <c r="W26" i="56" s="1"/>
  <c r="W50" i="56" s="1"/>
  <c r="W53" i="56" s="1"/>
  <c r="M50" i="56"/>
  <c r="M81" i="56"/>
  <c r="U81" i="56" s="1"/>
  <c r="W81" i="56" s="1"/>
  <c r="U49" i="55"/>
  <c r="S52" i="55"/>
  <c r="U52" i="55" s="1"/>
  <c r="O22" i="55"/>
  <c r="K49" i="55"/>
  <c r="K52" i="55" s="1"/>
  <c r="K64" i="55" s="1"/>
  <c r="K67" i="55" s="1"/>
  <c r="K86" i="55" s="1"/>
  <c r="U64" i="56" l="1"/>
  <c r="W64" i="56" s="1"/>
  <c r="M67" i="56"/>
  <c r="U53" i="56"/>
  <c r="U50" i="56"/>
  <c r="W56" i="56"/>
  <c r="U58" i="56"/>
  <c r="W58" i="56" s="1"/>
  <c r="W22" i="55"/>
  <c r="Y22" i="55" s="1"/>
  <c r="O49" i="55"/>
  <c r="O52" i="55" s="1"/>
  <c r="O64" i="55" s="1"/>
  <c r="O67" i="55" s="1"/>
  <c r="O86" i="55" s="1"/>
  <c r="U64" i="55"/>
  <c r="W49" i="55" l="1"/>
  <c r="Y49" i="55" s="1"/>
  <c r="W52" i="55"/>
  <c r="U67" i="56"/>
  <c r="W67" i="56" s="1"/>
  <c r="M86" i="56"/>
  <c r="U86" i="56" s="1"/>
  <c r="W86" i="56" s="1"/>
  <c r="W64" i="55"/>
  <c r="U67" i="55"/>
  <c r="U86" i="55" l="1"/>
  <c r="W86" i="55" s="1"/>
  <c r="Y86" i="55" s="1"/>
  <c r="W67" i="55"/>
  <c r="H10" i="73" l="1"/>
  <c r="H25" i="73" l="1"/>
  <c r="A3" i="67" l="1"/>
  <c r="G25" i="73" l="1"/>
  <c r="G18" i="73"/>
  <c r="F6" i="63" l="1"/>
  <c r="G6" i="63"/>
  <c r="R5" i="8" l="1"/>
  <c r="F5" i="8"/>
  <c r="I5" i="8"/>
  <c r="L5" i="8"/>
  <c r="O5" i="8"/>
  <c r="I15" i="13" l="1"/>
  <c r="F15" i="13"/>
  <c r="F19" i="73" l="1"/>
  <c r="F21" i="73" s="1"/>
  <c r="F24" i="73" s="1"/>
  <c r="F26" i="73" l="1"/>
  <c r="F15" i="10"/>
  <c r="H19" i="73"/>
  <c r="H21" i="73" s="1"/>
  <c r="H24" i="73" s="1"/>
  <c r="G19" i="73"/>
  <c r="G21" i="73" s="1"/>
  <c r="G24" i="73" s="1"/>
  <c r="F45" i="72"/>
  <c r="I45" i="72" s="1"/>
  <c r="F44" i="72"/>
  <c r="I44" i="72" s="1"/>
  <c r="L44" i="72" s="1"/>
  <c r="F38" i="72"/>
  <c r="I38" i="72" s="1"/>
  <c r="L38" i="72" s="1"/>
  <c r="F37" i="72"/>
  <c r="I37" i="72" s="1"/>
  <c r="L37" i="72" s="1"/>
  <c r="F12" i="72"/>
  <c r="I12" i="72" s="1"/>
  <c r="L12" i="72" s="1"/>
  <c r="F11" i="72"/>
  <c r="I11" i="72" s="1"/>
  <c r="L11" i="72" s="1"/>
  <c r="F10" i="72"/>
  <c r="F47" i="71"/>
  <c r="I47" i="71" s="1"/>
  <c r="L47" i="71" s="1"/>
  <c r="F46" i="71"/>
  <c r="F45" i="71"/>
  <c r="I45" i="71" s="1"/>
  <c r="L45" i="71" s="1"/>
  <c r="F29" i="71"/>
  <c r="I29" i="71" s="1"/>
  <c r="L29" i="71" s="1"/>
  <c r="F26" i="71"/>
  <c r="I26" i="71" s="1"/>
  <c r="L26" i="71" s="1"/>
  <c r="F23" i="71"/>
  <c r="I23" i="71" s="1"/>
  <c r="L23" i="71" s="1"/>
  <c r="F20" i="71"/>
  <c r="I20" i="71" s="1"/>
  <c r="L20" i="71" s="1"/>
  <c r="F19" i="71"/>
  <c r="I19" i="71" s="1"/>
  <c r="L19" i="71" s="1"/>
  <c r="F18" i="71"/>
  <c r="I18" i="71" s="1"/>
  <c r="L18" i="71" s="1"/>
  <c r="F17" i="71"/>
  <c r="I17" i="71" s="1"/>
  <c r="L17" i="71" s="1"/>
  <c r="F16" i="71"/>
  <c r="I16" i="71" s="1"/>
  <c r="F15" i="71"/>
  <c r="I15" i="71" s="1"/>
  <c r="L15" i="71" s="1"/>
  <c r="F14" i="71"/>
  <c r="I14" i="71" s="1"/>
  <c r="L14" i="71" s="1"/>
  <c r="F13" i="71"/>
  <c r="I13" i="71" s="1"/>
  <c r="L13" i="71" s="1"/>
  <c r="F12" i="71"/>
  <c r="I12" i="71" s="1"/>
  <c r="L12" i="71" s="1"/>
  <c r="F11" i="71"/>
  <c r="H47" i="72"/>
  <c r="G47" i="72"/>
  <c r="K47" i="72"/>
  <c r="J47" i="72"/>
  <c r="H39" i="72"/>
  <c r="G39" i="72"/>
  <c r="K39" i="72"/>
  <c r="J39" i="72"/>
  <c r="K33" i="72"/>
  <c r="J33" i="72"/>
  <c r="H33" i="72"/>
  <c r="G33" i="72"/>
  <c r="K28" i="72"/>
  <c r="H28" i="72"/>
  <c r="G28" i="72"/>
  <c r="J28" i="72"/>
  <c r="K19" i="72"/>
  <c r="G19" i="72"/>
  <c r="H19" i="72"/>
  <c r="J22" i="71"/>
  <c r="G22" i="71"/>
  <c r="G28" i="71" s="1"/>
  <c r="G31" i="71" s="1"/>
  <c r="G33" i="71" s="1"/>
  <c r="G35" i="71" s="1"/>
  <c r="G44" i="71" s="1"/>
  <c r="G48" i="71" s="1"/>
  <c r="K22" i="71"/>
  <c r="K28" i="71" s="1"/>
  <c r="K31" i="71" s="1"/>
  <c r="K33" i="71" s="1"/>
  <c r="K35" i="71" s="1"/>
  <c r="K44" i="71" s="1"/>
  <c r="K48" i="71" s="1"/>
  <c r="H22" i="71"/>
  <c r="H28" i="71" s="1"/>
  <c r="H31" i="71" s="1"/>
  <c r="H33" i="71" s="1"/>
  <c r="H35" i="71" s="1"/>
  <c r="H44" i="71" s="1"/>
  <c r="H48" i="71" s="1"/>
  <c r="L16" i="71" l="1"/>
  <c r="I46" i="71"/>
  <c r="L46" i="71" s="1"/>
  <c r="J28" i="71"/>
  <c r="J31" i="71" s="1"/>
  <c r="J33" i="71" s="1"/>
  <c r="J35" i="71" s="1"/>
  <c r="J44" i="71" s="1"/>
  <c r="J48" i="71" s="1"/>
  <c r="J19" i="72"/>
  <c r="J40" i="72" s="1"/>
  <c r="G15" i="10"/>
  <c r="G26" i="73"/>
  <c r="L45" i="72"/>
  <c r="H40" i="72"/>
  <c r="G40" i="72"/>
  <c r="K40" i="72"/>
  <c r="I10" i="72"/>
  <c r="L10" i="72" s="1"/>
  <c r="I11" i="71"/>
  <c r="L11" i="71" s="1"/>
  <c r="H26" i="73" l="1"/>
  <c r="H15" i="10"/>
  <c r="F15" i="72" l="1"/>
  <c r="I15" i="72" s="1"/>
  <c r="L15" i="72" l="1"/>
  <c r="G28" i="59"/>
  <c r="G27" i="59"/>
  <c r="G26" i="59"/>
  <c r="G25" i="59"/>
  <c r="G24" i="59"/>
  <c r="G23" i="59"/>
  <c r="G22" i="59"/>
  <c r="G21" i="59"/>
  <c r="G13" i="59"/>
  <c r="G12" i="59"/>
  <c r="G11" i="59"/>
  <c r="H28" i="8" l="1"/>
  <c r="F30" i="71" l="1"/>
  <c r="I30" i="71" s="1"/>
  <c r="L30" i="71" s="1"/>
  <c r="G28" i="8" l="1"/>
  <c r="G34" i="8"/>
  <c r="F34" i="8"/>
  <c r="F28" i="8"/>
  <c r="K34" i="8"/>
  <c r="J34" i="8"/>
  <c r="I34" i="8"/>
  <c r="H34" i="8"/>
  <c r="H38" i="8" l="1"/>
  <c r="H20" i="8"/>
  <c r="H21" i="8"/>
  <c r="F22" i="8"/>
  <c r="G22" i="8"/>
  <c r="H9" i="8"/>
  <c r="H10" i="8"/>
  <c r="H11" i="8"/>
  <c r="H12" i="8"/>
  <c r="H13" i="8"/>
  <c r="H14" i="8"/>
  <c r="H15" i="8"/>
  <c r="H16" i="8"/>
  <c r="F17" i="8"/>
  <c r="G17" i="8"/>
  <c r="J28" i="8"/>
  <c r="L28" i="8"/>
  <c r="M28" i="8"/>
  <c r="O28" i="8"/>
  <c r="P28" i="8"/>
  <c r="R28" i="8"/>
  <c r="S28" i="8"/>
  <c r="I28" i="8"/>
  <c r="L34" i="8"/>
  <c r="M34" i="8"/>
  <c r="O34" i="8"/>
  <c r="P34" i="8"/>
  <c r="R34" i="8"/>
  <c r="S34" i="8"/>
  <c r="K38" i="8"/>
  <c r="Q38" i="8"/>
  <c r="I6" i="68"/>
  <c r="I5" i="1"/>
  <c r="H33" i="26"/>
  <c r="G33" i="26"/>
  <c r="F33" i="26"/>
  <c r="L5" i="26"/>
  <c r="I5" i="26"/>
  <c r="F5" i="26"/>
  <c r="H5" i="62"/>
  <c r="G5" i="62"/>
  <c r="F5" i="62"/>
  <c r="G5" i="56"/>
  <c r="G5" i="55"/>
  <c r="H6" i="64"/>
  <c r="G6" i="64"/>
  <c r="F6" i="64"/>
  <c r="H6" i="63"/>
  <c r="H6" i="10"/>
  <c r="H40" i="11"/>
  <c r="H6" i="11"/>
  <c r="I5" i="13"/>
  <c r="H17" i="10"/>
  <c r="F17" i="72" s="1"/>
  <c r="I17" i="72" s="1"/>
  <c r="L17" i="72" s="1"/>
  <c r="F18" i="63"/>
  <c r="F26" i="63" s="1"/>
  <c r="H37" i="63"/>
  <c r="H25" i="63"/>
  <c r="B14" i="63"/>
  <c r="F33" i="10"/>
  <c r="H32" i="11"/>
  <c r="F32" i="71" s="1"/>
  <c r="I32" i="71" s="1"/>
  <c r="L32" i="71" s="1"/>
  <c r="G32" i="11"/>
  <c r="H34" i="11"/>
  <c r="F34" i="71" s="1"/>
  <c r="I34" i="71" s="1"/>
  <c r="L34" i="71" s="1"/>
  <c r="G34" i="11"/>
  <c r="G18" i="63"/>
  <c r="G26" i="63" s="1"/>
  <c r="H18" i="63"/>
  <c r="H26" i="63" s="1"/>
  <c r="F12" i="63"/>
  <c r="F13" i="63"/>
  <c r="F14" i="63"/>
  <c r="F15" i="63"/>
  <c r="F16" i="63"/>
  <c r="F25" i="63"/>
  <c r="B18" i="63"/>
  <c r="B26" i="63" s="1"/>
  <c r="G25" i="63"/>
  <c r="G16" i="63"/>
  <c r="H16" i="63"/>
  <c r="G15" i="63"/>
  <c r="H15" i="63"/>
  <c r="G14" i="63"/>
  <c r="G13" i="63"/>
  <c r="B25" i="63"/>
  <c r="B19" i="63"/>
  <c r="B16" i="63"/>
  <c r="B12" i="63"/>
  <c r="B13" i="63"/>
  <c r="B15" i="63"/>
  <c r="B11" i="63"/>
  <c r="H48" i="63"/>
  <c r="G48" i="63"/>
  <c r="F48" i="63"/>
  <c r="G37" i="63"/>
  <c r="G13" i="64" s="1"/>
  <c r="G17" i="10"/>
  <c r="F11" i="64"/>
  <c r="F12" i="64"/>
  <c r="F37" i="63"/>
  <c r="F13" i="64" s="1"/>
  <c r="F16" i="64"/>
  <c r="H11" i="64"/>
  <c r="H12" i="64"/>
  <c r="G11" i="64"/>
  <c r="G12" i="64"/>
  <c r="F21" i="64"/>
  <c r="F22" i="64"/>
  <c r="H43" i="10"/>
  <c r="H22" i="10"/>
  <c r="F22" i="72" s="1"/>
  <c r="I22" i="72" s="1"/>
  <c r="L22" i="72" s="1"/>
  <c r="G43" i="10"/>
  <c r="G22" i="10"/>
  <c r="G31" i="10"/>
  <c r="G24" i="11"/>
  <c r="G25" i="11"/>
  <c r="H25" i="11"/>
  <c r="F25" i="71" s="1"/>
  <c r="I25" i="71" s="1"/>
  <c r="L25" i="71" s="1"/>
  <c r="H57" i="63"/>
  <c r="G57" i="63"/>
  <c r="F57" i="63"/>
  <c r="F19" i="10"/>
  <c r="H18" i="10"/>
  <c r="F18" i="72" s="1"/>
  <c r="I18" i="72" s="1"/>
  <c r="L18" i="72" s="1"/>
  <c r="F24" i="11"/>
  <c r="G12" i="63"/>
  <c r="H27" i="10"/>
  <c r="F27" i="72" s="1"/>
  <c r="I27" i="72" s="1"/>
  <c r="L27" i="72" s="1"/>
  <c r="H24" i="10"/>
  <c r="F24" i="72" s="1"/>
  <c r="F20" i="64"/>
  <c r="G16" i="10"/>
  <c r="H27" i="13"/>
  <c r="H44" i="13"/>
  <c r="I22" i="13"/>
  <c r="G36" i="10"/>
  <c r="G39" i="10" s="1"/>
  <c r="G24" i="64"/>
  <c r="K18" i="13"/>
  <c r="H23" i="10"/>
  <c r="F23" i="72" s="1"/>
  <c r="I23" i="72" s="1"/>
  <c r="L23" i="72" s="1"/>
  <c r="H25" i="10"/>
  <c r="F25" i="72" s="1"/>
  <c r="I25" i="72" s="1"/>
  <c r="L25" i="72" s="1"/>
  <c r="H32" i="10"/>
  <c r="F32" i="72" s="1"/>
  <c r="K36" i="13"/>
  <c r="N21" i="8"/>
  <c r="K11" i="13"/>
  <c r="K28" i="13"/>
  <c r="K26" i="13"/>
  <c r="K37" i="13"/>
  <c r="K48" i="13"/>
  <c r="F28" i="10"/>
  <c r="F47" i="10"/>
  <c r="G27" i="10"/>
  <c r="G23" i="10"/>
  <c r="G18" i="10"/>
  <c r="G24" i="10"/>
  <c r="G26" i="10"/>
  <c r="G25" i="10"/>
  <c r="G32" i="10"/>
  <c r="G46" i="10"/>
  <c r="H15" i="13"/>
  <c r="H50" i="13"/>
  <c r="H48" i="13"/>
  <c r="K43" i="13"/>
  <c r="H43" i="13"/>
  <c r="H41" i="13"/>
  <c r="H37" i="13"/>
  <c r="H36" i="13"/>
  <c r="K30" i="13"/>
  <c r="H30" i="13"/>
  <c r="H29" i="13"/>
  <c r="H11" i="13"/>
  <c r="K10" i="13"/>
  <c r="H10" i="13"/>
  <c r="H16" i="13"/>
  <c r="H28" i="13"/>
  <c r="K20" i="13"/>
  <c r="H20" i="13"/>
  <c r="K19" i="13"/>
  <c r="H19" i="13"/>
  <c r="K21" i="13"/>
  <c r="H21" i="13"/>
  <c r="H26" i="13"/>
  <c r="K25" i="13"/>
  <c r="H25" i="13"/>
  <c r="H18" i="13"/>
  <c r="H17" i="13"/>
  <c r="H37" i="26"/>
  <c r="M24" i="26"/>
  <c r="L24" i="26"/>
  <c r="N23" i="26"/>
  <c r="N22" i="26"/>
  <c r="N21" i="26"/>
  <c r="N20" i="26"/>
  <c r="N19" i="26"/>
  <c r="M16" i="26"/>
  <c r="L16" i="26"/>
  <c r="N15" i="26"/>
  <c r="N14" i="26"/>
  <c r="N13" i="26"/>
  <c r="N12" i="26"/>
  <c r="N11" i="26"/>
  <c r="N10" i="26"/>
  <c r="N9" i="26"/>
  <c r="K24" i="1"/>
  <c r="H24" i="1"/>
  <c r="K22" i="1"/>
  <c r="H22" i="1"/>
  <c r="H20" i="1"/>
  <c r="K19" i="1"/>
  <c r="H19" i="1"/>
  <c r="K17" i="1"/>
  <c r="H17" i="1"/>
  <c r="K16" i="1"/>
  <c r="H16" i="1"/>
  <c r="H24" i="11" s="1"/>
  <c r="F24" i="71" s="1"/>
  <c r="P22" i="8"/>
  <c r="M22" i="8"/>
  <c r="M17" i="8"/>
  <c r="S22" i="8"/>
  <c r="R22" i="8"/>
  <c r="T21" i="8"/>
  <c r="T20" i="8"/>
  <c r="T16" i="8"/>
  <c r="T14" i="8"/>
  <c r="T13" i="8"/>
  <c r="T12" i="8"/>
  <c r="T10" i="8"/>
  <c r="O22" i="8"/>
  <c r="Q21" i="8"/>
  <c r="Q20" i="8"/>
  <c r="Q16" i="8"/>
  <c r="Q14" i="8"/>
  <c r="Q13" i="8"/>
  <c r="Q12" i="8"/>
  <c r="Q10" i="8"/>
  <c r="H9" i="1"/>
  <c r="H10" i="1"/>
  <c r="K10" i="1"/>
  <c r="H11" i="1"/>
  <c r="K11" i="1"/>
  <c r="H12" i="1"/>
  <c r="K12" i="1"/>
  <c r="H13" i="1"/>
  <c r="K13" i="1"/>
  <c r="G15" i="1"/>
  <c r="G18" i="1" s="1"/>
  <c r="G21" i="1" s="1"/>
  <c r="G23" i="1" s="1"/>
  <c r="G25" i="1" s="1"/>
  <c r="H8" i="1"/>
  <c r="H14" i="1"/>
  <c r="K14" i="1"/>
  <c r="K9" i="8"/>
  <c r="J17" i="8"/>
  <c r="K11" i="8"/>
  <c r="I17" i="8"/>
  <c r="K12" i="8"/>
  <c r="K13" i="8"/>
  <c r="K14" i="8"/>
  <c r="K16" i="8"/>
  <c r="N11" i="8"/>
  <c r="L17" i="8"/>
  <c r="N12" i="8"/>
  <c r="N13" i="8"/>
  <c r="N14" i="8"/>
  <c r="N15" i="8"/>
  <c r="N16" i="8"/>
  <c r="K15" i="8"/>
  <c r="K20" i="8"/>
  <c r="K21" i="8"/>
  <c r="N20" i="8"/>
  <c r="H9" i="13"/>
  <c r="H42" i="13"/>
  <c r="J12" i="13"/>
  <c r="J38" i="13"/>
  <c r="K42" i="13"/>
  <c r="G12" i="13"/>
  <c r="G22" i="13"/>
  <c r="G31" i="13"/>
  <c r="G32" i="13" s="1"/>
  <c r="G38" i="13"/>
  <c r="F12" i="13"/>
  <c r="F31" i="13"/>
  <c r="F38" i="13"/>
  <c r="G51" i="13"/>
  <c r="H49" i="13"/>
  <c r="F51" i="13"/>
  <c r="K19" i="26"/>
  <c r="K20" i="26"/>
  <c r="K21" i="26"/>
  <c r="K22" i="26"/>
  <c r="K23" i="26"/>
  <c r="K9" i="26"/>
  <c r="K10" i="26"/>
  <c r="K11" i="26"/>
  <c r="K12" i="26"/>
  <c r="K13" i="26"/>
  <c r="K14" i="26"/>
  <c r="K15" i="26"/>
  <c r="H23" i="26"/>
  <c r="H22" i="26"/>
  <c r="H21" i="26"/>
  <c r="H20" i="26"/>
  <c r="H19" i="26"/>
  <c r="H10" i="26"/>
  <c r="H11" i="26"/>
  <c r="H12" i="26"/>
  <c r="H13" i="26"/>
  <c r="H14" i="26"/>
  <c r="H15" i="26"/>
  <c r="H9" i="26"/>
  <c r="G16" i="26"/>
  <c r="G24" i="26"/>
  <c r="G37" i="26"/>
  <c r="J16" i="26"/>
  <c r="J24" i="26"/>
  <c r="F37" i="26"/>
  <c r="I24" i="26"/>
  <c r="F24" i="26"/>
  <c r="I16" i="26"/>
  <c r="F16" i="26"/>
  <c r="L22" i="8"/>
  <c r="J22" i="8"/>
  <c r="I22" i="8"/>
  <c r="N9" i="8"/>
  <c r="N10" i="8"/>
  <c r="K10" i="8"/>
  <c r="G16" i="64"/>
  <c r="H31" i="10"/>
  <c r="F31" i="72" s="1"/>
  <c r="I31" i="72" s="1"/>
  <c r="L31" i="72" s="1"/>
  <c r="I38" i="13"/>
  <c r="H16" i="64"/>
  <c r="F24" i="64"/>
  <c r="F39" i="10"/>
  <c r="K20" i="1"/>
  <c r="H16" i="10"/>
  <c r="K17" i="13"/>
  <c r="K15" i="13"/>
  <c r="H36" i="10"/>
  <c r="K41" i="13"/>
  <c r="J22" i="13"/>
  <c r="K29" i="13"/>
  <c r="H26" i="10"/>
  <c r="H24" i="64"/>
  <c r="J31" i="13"/>
  <c r="K9" i="13"/>
  <c r="I12" i="13"/>
  <c r="K16" i="13"/>
  <c r="H46" i="10"/>
  <c r="F46" i="72" s="1"/>
  <c r="I46" i="72" s="1"/>
  <c r="L46" i="72" s="1"/>
  <c r="K50" i="13"/>
  <c r="K44" i="13"/>
  <c r="I31" i="13"/>
  <c r="K27" i="13"/>
  <c r="Q11" i="8"/>
  <c r="T11" i="8"/>
  <c r="Q15" i="8"/>
  <c r="T15" i="8"/>
  <c r="P17" i="8"/>
  <c r="O17" i="8"/>
  <c r="Q9" i="8"/>
  <c r="T9" i="8"/>
  <c r="S17" i="8"/>
  <c r="H14" i="63"/>
  <c r="J15" i="1"/>
  <c r="J18" i="1" s="1"/>
  <c r="J21" i="1" s="1"/>
  <c r="J23" i="1" s="1"/>
  <c r="J25" i="1" s="1"/>
  <c r="H13" i="63"/>
  <c r="K9" i="1"/>
  <c r="H12" i="63"/>
  <c r="K8" i="1"/>
  <c r="J51" i="13"/>
  <c r="K49" i="13"/>
  <c r="I51" i="13"/>
  <c r="F26" i="72" l="1"/>
  <c r="I26" i="72" s="1"/>
  <c r="L26" i="72" s="1"/>
  <c r="G22" i="64"/>
  <c r="H13" i="64"/>
  <c r="F16" i="72"/>
  <c r="I16" i="72" s="1"/>
  <c r="H33" i="10"/>
  <c r="H24" i="26"/>
  <c r="H38" i="13"/>
  <c r="G20" i="64"/>
  <c r="H21" i="64"/>
  <c r="F43" i="72"/>
  <c r="H39" i="63"/>
  <c r="H39" i="10"/>
  <c r="F36" i="72"/>
  <c r="H22" i="64"/>
  <c r="J45" i="13"/>
  <c r="I24" i="72"/>
  <c r="F28" i="72"/>
  <c r="H16" i="26"/>
  <c r="G39" i="63"/>
  <c r="G21" i="64"/>
  <c r="G47" i="10"/>
  <c r="I24" i="71"/>
  <c r="F33" i="72"/>
  <c r="I32" i="72"/>
  <c r="N16" i="26"/>
  <c r="J32" i="13"/>
  <c r="K31" i="13"/>
  <c r="K22" i="13"/>
  <c r="H20" i="64"/>
  <c r="H19" i="10"/>
  <c r="I33" i="13"/>
  <c r="K16" i="26"/>
  <c r="F22" i="13"/>
  <c r="F32" i="13" s="1"/>
  <c r="F23" i="64"/>
  <c r="F25" i="64" s="1"/>
  <c r="F40" i="10"/>
  <c r="H51" i="13"/>
  <c r="G33" i="10"/>
  <c r="G19" i="10"/>
  <c r="G28" i="10"/>
  <c r="H12" i="13"/>
  <c r="K22" i="8"/>
  <c r="F21" i="11" s="1"/>
  <c r="F19" i="63" s="1"/>
  <c r="N34" i="8"/>
  <c r="T17" i="8"/>
  <c r="H22" i="8"/>
  <c r="H17" i="8"/>
  <c r="N22" i="8"/>
  <c r="G21" i="11" s="1"/>
  <c r="G19" i="63" s="1"/>
  <c r="K28" i="8"/>
  <c r="Q17" i="8"/>
  <c r="Q34" i="8"/>
  <c r="J33" i="13"/>
  <c r="N28" i="8"/>
  <c r="H47" i="10"/>
  <c r="N24" i="26"/>
  <c r="K51" i="13"/>
  <c r="T34" i="8"/>
  <c r="Q28" i="8"/>
  <c r="K17" i="8"/>
  <c r="K12" i="13"/>
  <c r="F39" i="63"/>
  <c r="Q22" i="8"/>
  <c r="H21" i="11" s="1"/>
  <c r="T22" i="8"/>
  <c r="H22" i="13"/>
  <c r="T28" i="8"/>
  <c r="N17" i="8"/>
  <c r="F10" i="11" s="1"/>
  <c r="I32" i="13"/>
  <c r="K24" i="26"/>
  <c r="G33" i="13"/>
  <c r="H31" i="13"/>
  <c r="H28" i="10"/>
  <c r="I45" i="13"/>
  <c r="G45" i="13"/>
  <c r="K38" i="13"/>
  <c r="F10" i="71" l="1"/>
  <c r="I10" i="71" s="1"/>
  <c r="L10" i="71" s="1"/>
  <c r="I7" i="1"/>
  <c r="K7" i="1" s="1"/>
  <c r="K15" i="1" s="1"/>
  <c r="K18" i="1" s="1"/>
  <c r="K21" i="1" s="1"/>
  <c r="K23" i="1" s="1"/>
  <c r="K25" i="1" s="1"/>
  <c r="F19" i="72"/>
  <c r="H40" i="10"/>
  <c r="F7" i="1"/>
  <c r="G10" i="11"/>
  <c r="G23" i="64"/>
  <c r="G25" i="64" s="1"/>
  <c r="H19" i="63"/>
  <c r="F21" i="71"/>
  <c r="I43" i="72"/>
  <c r="F47" i="72"/>
  <c r="F39" i="72"/>
  <c r="F40" i="72" s="1"/>
  <c r="I36" i="72"/>
  <c r="H23" i="64"/>
  <c r="H25" i="64" s="1"/>
  <c r="L16" i="72"/>
  <c r="L19" i="72" s="1"/>
  <c r="I19" i="72"/>
  <c r="L24" i="72"/>
  <c r="L28" i="72" s="1"/>
  <c r="I28" i="72"/>
  <c r="L24" i="71"/>
  <c r="L32" i="72"/>
  <c r="L33" i="72" s="1"/>
  <c r="I33" i="72"/>
  <c r="K32" i="13"/>
  <c r="K33" i="13"/>
  <c r="F33" i="13"/>
  <c r="F45" i="13"/>
  <c r="G40" i="10"/>
  <c r="H33" i="13"/>
  <c r="F22" i="11"/>
  <c r="F28" i="11" s="1"/>
  <c r="F31" i="11" s="1"/>
  <c r="F33" i="11" s="1"/>
  <c r="F35" i="11" s="1"/>
  <c r="F44" i="11" s="1"/>
  <c r="F48" i="11" s="1"/>
  <c r="F11" i="63"/>
  <c r="F20" i="63" s="1"/>
  <c r="F23" i="63" s="1"/>
  <c r="F29" i="63" s="1"/>
  <c r="F10" i="64" s="1"/>
  <c r="I15" i="1"/>
  <c r="K45" i="13"/>
  <c r="H45" i="13"/>
  <c r="H32" i="13"/>
  <c r="I21" i="71" l="1"/>
  <c r="F22" i="71"/>
  <c r="F28" i="71" s="1"/>
  <c r="F31" i="71" s="1"/>
  <c r="F33" i="71" s="1"/>
  <c r="F35" i="71" s="1"/>
  <c r="I47" i="72"/>
  <c r="L43" i="72"/>
  <c r="L47" i="72" s="1"/>
  <c r="L36" i="72"/>
  <c r="L39" i="72" s="1"/>
  <c r="L40" i="72" s="1"/>
  <c r="I39" i="72"/>
  <c r="I40" i="72" s="1"/>
  <c r="I18" i="1"/>
  <c r="G9" i="59"/>
  <c r="F41" i="63"/>
  <c r="F50" i="63" s="1"/>
  <c r="F58" i="63" s="1"/>
  <c r="F60" i="63" s="1"/>
  <c r="H11" i="63"/>
  <c r="H20" i="63" s="1"/>
  <c r="H23" i="63" s="1"/>
  <c r="H29" i="63" s="1"/>
  <c r="H41" i="63" s="1"/>
  <c r="H50" i="63" s="1"/>
  <c r="H22" i="11"/>
  <c r="H28" i="11" s="1"/>
  <c r="H7" i="1"/>
  <c r="H15" i="1" s="1"/>
  <c r="H18" i="1" s="1"/>
  <c r="H21" i="1" s="1"/>
  <c r="H23" i="1" s="1"/>
  <c r="H25" i="1" s="1"/>
  <c r="F15" i="1"/>
  <c r="F18" i="1" s="1"/>
  <c r="F21" i="1" s="1"/>
  <c r="F23" i="1" s="1"/>
  <c r="F25" i="1" s="1"/>
  <c r="F29" i="64"/>
  <c r="F14" i="64"/>
  <c r="G11" i="63"/>
  <c r="G20" i="63" s="1"/>
  <c r="G23" i="63" s="1"/>
  <c r="G29" i="63" s="1"/>
  <c r="G22" i="11"/>
  <c r="G28" i="11" s="1"/>
  <c r="G31" i="11" s="1"/>
  <c r="G33" i="11" s="1"/>
  <c r="G35" i="11" s="1"/>
  <c r="G44" i="11" s="1"/>
  <c r="G48" i="11" s="1"/>
  <c r="H31" i="11" l="1"/>
  <c r="H33" i="11" s="1"/>
  <c r="H35" i="11" s="1"/>
  <c r="H58" i="63"/>
  <c r="L21" i="71"/>
  <c r="L22" i="71" s="1"/>
  <c r="L28" i="71" s="1"/>
  <c r="L31" i="71" s="1"/>
  <c r="L33" i="71" s="1"/>
  <c r="L35" i="71" s="1"/>
  <c r="I22" i="71"/>
  <c r="I28" i="71" s="1"/>
  <c r="I31" i="71" s="1"/>
  <c r="I33" i="71" s="1"/>
  <c r="I35" i="71" s="1"/>
  <c r="I44" i="71" s="1"/>
  <c r="I48" i="71" s="1"/>
  <c r="I21" i="1"/>
  <c r="I23" i="1" s="1"/>
  <c r="I25" i="1" s="1"/>
  <c r="G10" i="59"/>
  <c r="H10" i="64"/>
  <c r="H60" i="63"/>
  <c r="F28" i="64"/>
  <c r="F18" i="64"/>
  <c r="F30" i="64" s="1"/>
  <c r="G10" i="64"/>
  <c r="G41" i="63"/>
  <c r="G50" i="63" s="1"/>
  <c r="G58" i="63" s="1"/>
  <c r="H44" i="11" l="1"/>
  <c r="L44" i="71"/>
  <c r="L48" i="71" s="1"/>
  <c r="H14" i="64"/>
  <c r="H28" i="64" s="1"/>
  <c r="H29" i="64"/>
  <c r="G60" i="63"/>
  <c r="G14" i="64"/>
  <c r="G29" i="64"/>
  <c r="H48" i="11" l="1"/>
  <c r="F44" i="71"/>
  <c r="F48" i="71" s="1"/>
  <c r="H18" i="64"/>
  <c r="H30" i="64" s="1"/>
  <c r="G18" i="64"/>
  <c r="G30" i="64" s="1"/>
  <c r="G28" i="64"/>
</calcChain>
</file>

<file path=xl/sharedStrings.xml><?xml version="1.0" encoding="utf-8"?>
<sst xmlns="http://schemas.openxmlformats.org/spreadsheetml/2006/main" count="3399" uniqueCount="1077">
  <si>
    <t>Summary</t>
  </si>
  <si>
    <t>Table / Proforma</t>
  </si>
  <si>
    <t>Name</t>
  </si>
  <si>
    <t>In JR10</t>
  </si>
  <si>
    <t>WICS 10 Ref</t>
  </si>
  <si>
    <t>In Ofwat 10 RAG?</t>
  </si>
  <si>
    <t>To be reviewed by auditor?</t>
  </si>
  <si>
    <t>Definitions</t>
  </si>
  <si>
    <t>Historic Cost Income and Expenditure Account</t>
  </si>
  <si>
    <t>Table 18</t>
  </si>
  <si>
    <t>M1</t>
  </si>
  <si>
    <t>Proforma 1</t>
  </si>
  <si>
    <t>YES</t>
  </si>
  <si>
    <t>RAR3</t>
  </si>
  <si>
    <t>Historic Cost Balance Sheet</t>
  </si>
  <si>
    <t>Table 19</t>
  </si>
  <si>
    <t>M2</t>
  </si>
  <si>
    <t>Proforma 2</t>
  </si>
  <si>
    <t>Historic Cost Balance Sheet - Reconciliation to Statutory Accounts</t>
  </si>
  <si>
    <t>--</t>
  </si>
  <si>
    <t>M3</t>
  </si>
  <si>
    <t>Proforma 3</t>
  </si>
  <si>
    <t>Regulatory Income and Expenditure Account</t>
  </si>
  <si>
    <t>Table 20</t>
  </si>
  <si>
    <t>M4</t>
  </si>
  <si>
    <t>Proforma 4</t>
  </si>
  <si>
    <t>Regulatory Balance Sheet</t>
  </si>
  <si>
    <t>Table 24</t>
  </si>
  <si>
    <t>M5</t>
  </si>
  <si>
    <t>Proforma 5</t>
  </si>
  <si>
    <t>Regulatory Cash Flow</t>
  </si>
  <si>
    <t>Table 28</t>
  </si>
  <si>
    <t>M6</t>
  </si>
  <si>
    <t>Proforma 6</t>
  </si>
  <si>
    <t>6-R</t>
  </si>
  <si>
    <t>Financial Ratios</t>
  </si>
  <si>
    <t>M6-R</t>
  </si>
  <si>
    <t>Not needed</t>
  </si>
  <si>
    <t>Analysis of Turnover and operating income</t>
  </si>
  <si>
    <t>Table 23</t>
  </si>
  <si>
    <t>M7</t>
  </si>
  <si>
    <t>Proforma 7</t>
  </si>
  <si>
    <t>Working Capital</t>
  </si>
  <si>
    <t>Table 26</t>
  </si>
  <si>
    <t>M11</t>
  </si>
  <si>
    <t>Proforma 11</t>
  </si>
  <si>
    <t>18W-WW</t>
  </si>
  <si>
    <t>Activity Based Costing - Water/Waste water Service</t>
  </si>
  <si>
    <t>Table 21 and 22</t>
  </si>
  <si>
    <t>M18W-WW</t>
  </si>
  <si>
    <t>Proforma 18/19</t>
  </si>
  <si>
    <t>RAR 4</t>
  </si>
  <si>
    <t>Taxation Analysis</t>
  </si>
  <si>
    <t>Table 18a and 18b</t>
  </si>
  <si>
    <t>M21</t>
  </si>
  <si>
    <t>Fixed asset additions and expected depreciation</t>
  </si>
  <si>
    <t>Table 33 and 34</t>
  </si>
  <si>
    <t>M22</t>
  </si>
  <si>
    <t>27a</t>
  </si>
  <si>
    <t>Consolidated Profit and Loss (IFRS)</t>
  </si>
  <si>
    <t>M27</t>
  </si>
  <si>
    <t>28a</t>
  </si>
  <si>
    <t>Consolidated Balance Sheet (IFRS)</t>
  </si>
  <si>
    <t>M28</t>
  </si>
  <si>
    <t>Scottish Water</t>
  </si>
  <si>
    <t>Table 1: Historic Cost Income and Expenditure Account (RAR Proforma 1)</t>
  </si>
  <si>
    <t>Line</t>
  </si>
  <si>
    <t>Description</t>
  </si>
  <si>
    <t>Ofwat ref</t>
  </si>
  <si>
    <t>Units</t>
  </si>
  <si>
    <t>Field</t>
  </si>
  <si>
    <t>2018-19</t>
  </si>
  <si>
    <t>JR 10</t>
  </si>
  <si>
    <t>Type</t>
  </si>
  <si>
    <t>Core</t>
  </si>
  <si>
    <t xml:space="preserve"> Non Core</t>
  </si>
  <si>
    <t>Total</t>
  </si>
  <si>
    <t>Non Core</t>
  </si>
  <si>
    <t>Turnover</t>
  </si>
  <si>
    <t>T18, L1</t>
  </si>
  <si>
    <t>£m</t>
  </si>
  <si>
    <t>I,C</t>
  </si>
  <si>
    <t>Operating expenditure</t>
  </si>
  <si>
    <t>T18, L2 + T18, L3</t>
  </si>
  <si>
    <t>1.3</t>
  </si>
  <si>
    <t>PPP costs</t>
  </si>
  <si>
    <t>1.4</t>
  </si>
  <si>
    <t>Historical Cost Depreciation</t>
  </si>
  <si>
    <t>1.5</t>
  </si>
  <si>
    <t>Infrastructure Renewals charge</t>
  </si>
  <si>
    <t>1.6</t>
  </si>
  <si>
    <t>Amortisation of PPP assets</t>
  </si>
  <si>
    <t>1.7</t>
  </si>
  <si>
    <t>Amortisation of deferred income</t>
  </si>
  <si>
    <t>1.8</t>
  </si>
  <si>
    <t>Operating income</t>
  </si>
  <si>
    <t>T18, L4</t>
  </si>
  <si>
    <t>1.9</t>
  </si>
  <si>
    <t>Operating profit</t>
  </si>
  <si>
    <t>T18, L5</t>
  </si>
  <si>
    <t>C</t>
  </si>
  <si>
    <t>1.10</t>
  </si>
  <si>
    <t>Other income</t>
  </si>
  <si>
    <t>T18, L6</t>
  </si>
  <si>
    <t>1.11</t>
  </si>
  <si>
    <t>Net interest receivable less payable</t>
  </si>
  <si>
    <t>T18, L7</t>
  </si>
  <si>
    <t>1.12</t>
  </si>
  <si>
    <t>Profit on ordinary activities before taxation</t>
  </si>
  <si>
    <t>T18, L8</t>
  </si>
  <si>
    <t>1.13</t>
  </si>
  <si>
    <t>Taxation - current</t>
  </si>
  <si>
    <t>T18, L9</t>
  </si>
  <si>
    <t>1.14</t>
  </si>
  <si>
    <t>Taxation - deferred</t>
  </si>
  <si>
    <t>T18, L10</t>
  </si>
  <si>
    <t>1.15</t>
  </si>
  <si>
    <t>Profit on ordinary activities after taxation</t>
  </si>
  <si>
    <t>T18, L11</t>
  </si>
  <si>
    <t>Extraordinary items</t>
  </si>
  <si>
    <t>T18, L12</t>
  </si>
  <si>
    <t>Profit for the year</t>
  </si>
  <si>
    <t>T18, L13</t>
  </si>
  <si>
    <t>Dividends</t>
  </si>
  <si>
    <t>T18, L14</t>
  </si>
  <si>
    <t>Retained profit for year</t>
  </si>
  <si>
    <t>T18, L15</t>
  </si>
  <si>
    <t>I: input</t>
  </si>
  <si>
    <t>C: calculation</t>
  </si>
  <si>
    <t>(a): note required; see separate table for further analysis</t>
  </si>
  <si>
    <t>(b) note required only if different from statutory accounts note</t>
  </si>
  <si>
    <t>Table 2: Historic Cost Balance Sheet (RAR Proforma 2)</t>
  </si>
  <si>
    <t>Fixed Assets</t>
  </si>
  <si>
    <t>2.1</t>
  </si>
  <si>
    <t>Tangible Assets</t>
  </si>
  <si>
    <t>T19, L1</t>
  </si>
  <si>
    <t>2.2</t>
  </si>
  <si>
    <t>Investment - loan to group company</t>
  </si>
  <si>
    <t>T19, L2</t>
  </si>
  <si>
    <t>2.3</t>
  </si>
  <si>
    <t>Investment - Other</t>
  </si>
  <si>
    <t>T19, L3</t>
  </si>
  <si>
    <t>2.4</t>
  </si>
  <si>
    <t>Total fixed assets</t>
  </si>
  <si>
    <t>T19, L4</t>
  </si>
  <si>
    <t>Current Assets</t>
  </si>
  <si>
    <t>2.5</t>
  </si>
  <si>
    <t>Stocks</t>
  </si>
  <si>
    <t>T19, L5</t>
  </si>
  <si>
    <t>2.6</t>
  </si>
  <si>
    <t>Debtors</t>
  </si>
  <si>
    <t>T19, L6</t>
  </si>
  <si>
    <t>2.7</t>
  </si>
  <si>
    <t>Cash at bank and in hand</t>
  </si>
  <si>
    <t>T19, L7</t>
  </si>
  <si>
    <t>2.8</t>
  </si>
  <si>
    <t>Short term deposits</t>
  </si>
  <si>
    <t>T19, L8</t>
  </si>
  <si>
    <t>2.9</t>
  </si>
  <si>
    <t>Gilts Reserve</t>
  </si>
  <si>
    <t>2.10</t>
  </si>
  <si>
    <t>Assets transferred to PPP contractors</t>
  </si>
  <si>
    <t>2.11</t>
  </si>
  <si>
    <t>Infrastructure Renewals prepayment</t>
  </si>
  <si>
    <t>T19, L9</t>
  </si>
  <si>
    <t>2.12</t>
  </si>
  <si>
    <t>Total current assets</t>
  </si>
  <si>
    <t>T19, L10</t>
  </si>
  <si>
    <t>Creditors: amounts falling due within one year</t>
  </si>
  <si>
    <t>2.13</t>
  </si>
  <si>
    <t>Overdrafts</t>
  </si>
  <si>
    <t>T19, L11</t>
  </si>
  <si>
    <t>2.14</t>
  </si>
  <si>
    <t>Infrastructure Renewals accrual</t>
  </si>
  <si>
    <t>T19, L12</t>
  </si>
  <si>
    <t>2.15</t>
  </si>
  <si>
    <t>Creditors</t>
  </si>
  <si>
    <t>T19, L13</t>
  </si>
  <si>
    <t>2.16</t>
  </si>
  <si>
    <t>Borrowings (excl. Govt. loans)</t>
  </si>
  <si>
    <t>T19,  L14</t>
  </si>
  <si>
    <t>2.17</t>
  </si>
  <si>
    <t>Corporation tax payable</t>
  </si>
  <si>
    <t>T19, L15</t>
  </si>
  <si>
    <t>2.18</t>
  </si>
  <si>
    <t>Dividends payable</t>
  </si>
  <si>
    <t>T19, L16</t>
  </si>
  <si>
    <t>2.19</t>
  </si>
  <si>
    <t>Total creditors</t>
  </si>
  <si>
    <t>T19, L18</t>
  </si>
  <si>
    <t>2.20</t>
  </si>
  <si>
    <t>Net current assets</t>
  </si>
  <si>
    <t>T19, L19</t>
  </si>
  <si>
    <t>2.21</t>
  </si>
  <si>
    <t>Total assets less current liabilities</t>
  </si>
  <si>
    <t>Creditors: amounts falling due after one year</t>
  </si>
  <si>
    <t>2.22</t>
  </si>
  <si>
    <t>T19, L20</t>
  </si>
  <si>
    <t>2.23</t>
  </si>
  <si>
    <t>Other creditors</t>
  </si>
  <si>
    <t>T19, L21</t>
  </si>
  <si>
    <t>2.24</t>
  </si>
  <si>
    <t>T19, L22</t>
  </si>
  <si>
    <t>Provision for liabilities &amp; charges</t>
  </si>
  <si>
    <t>2.25</t>
  </si>
  <si>
    <t>Deferred tax provision</t>
  </si>
  <si>
    <t>T19, L23</t>
  </si>
  <si>
    <t>2.26</t>
  </si>
  <si>
    <t>Deferred income - grants and contributions</t>
  </si>
  <si>
    <t>T19, L24</t>
  </si>
  <si>
    <t>2.27</t>
  </si>
  <si>
    <t>Post employment assets / (liabilities)</t>
  </si>
  <si>
    <t>T19, L25</t>
  </si>
  <si>
    <t>2.28</t>
  </si>
  <si>
    <t>Other provisions</t>
  </si>
  <si>
    <t>T19, L26</t>
  </si>
  <si>
    <t>2.29</t>
  </si>
  <si>
    <t>Net Assets employed</t>
  </si>
  <si>
    <t>T19, L28</t>
  </si>
  <si>
    <t>Capital and reserves</t>
  </si>
  <si>
    <t>2.30</t>
  </si>
  <si>
    <t>Government loans</t>
  </si>
  <si>
    <t>2.31</t>
  </si>
  <si>
    <t>Income and Expenditure account</t>
  </si>
  <si>
    <t>T19, L31</t>
  </si>
  <si>
    <t>2.32</t>
  </si>
  <si>
    <t>Other reserves</t>
  </si>
  <si>
    <t>T19, L32</t>
  </si>
  <si>
    <t>2.33</t>
  </si>
  <si>
    <t>Capital &amp; reserves</t>
  </si>
  <si>
    <t>T19, L33</t>
  </si>
  <si>
    <t>Table 3: Historic Cost Balance Sheet - Reconciliation to Statutory Accounts (RAR Proforma 3)</t>
  </si>
  <si>
    <t>Statutory IFRS</t>
  </si>
  <si>
    <t>Regulatory</t>
  </si>
  <si>
    <t>Explanation of difference</t>
  </si>
  <si>
    <t>JR 07</t>
  </si>
  <si>
    <t>Profit and loss account</t>
  </si>
  <si>
    <t>I</t>
  </si>
  <si>
    <t>Non-reg £0.1m; BusStr gp £(12.6)m; Horizons gp £(0.9)m; IFRS adjs £(12.7)m</t>
  </si>
  <si>
    <t>3.2</t>
  </si>
  <si>
    <t>Profit before tax</t>
  </si>
  <si>
    <t>Non-reg £0.1m; BusStr gp £(17.2)m; Horizons gp £2.2m; IFRS adjs £(34.1)m</t>
  </si>
  <si>
    <t>3.3</t>
  </si>
  <si>
    <t>Cost of sales &amp; Admin expenses</t>
  </si>
  <si>
    <t>Non-reg £2.0m; BusStr gp £356.7m; Horizons gp £39.9m; IFRS adjs £(11.0)m</t>
  </si>
  <si>
    <t>3.4</t>
  </si>
  <si>
    <t>Interest &amp; other finance costs</t>
  </si>
  <si>
    <t>BusStr gp £(1.4)m; Horizons gp £2.9m; IFRS adjs £21.4m</t>
  </si>
  <si>
    <t>3.5</t>
  </si>
  <si>
    <t>Taxation</t>
  </si>
  <si>
    <t>BusStr gp £(1.7)m; Horizons gp £1.6m; IFRS adjs £(8.8)m</t>
  </si>
  <si>
    <t>3.6</t>
  </si>
  <si>
    <t>3.7</t>
  </si>
  <si>
    <t>3.8</t>
  </si>
  <si>
    <t>3.9</t>
  </si>
  <si>
    <t>3.10</t>
  </si>
  <si>
    <t>Balance Sheet</t>
  </si>
  <si>
    <t>3.11</t>
  </si>
  <si>
    <t>Tangible fixed assets (nbv)</t>
  </si>
  <si>
    <t>}  IFRS adjs - infra assets £(174.9)m; PFI lease assets £253.2m</t>
  </si>
  <si>
    <t>3.12</t>
  </si>
  <si>
    <t>Infrastructure renewals accrual</t>
  </si>
  <si>
    <t>}</t>
  </si>
  <si>
    <t>3.13</t>
  </si>
  <si>
    <t>3.14</t>
  </si>
  <si>
    <t>IFRS adj £(32.9)m (pension prepyt)</t>
  </si>
  <si>
    <t>3.15</t>
  </si>
  <si>
    <t>Creditors - total</t>
  </si>
  <si>
    <t>}  Non-reg £7.6m; IFRS adjs £(2.6)m, Group tax relief £(1.6)m</t>
  </si>
  <si>
    <t>3.16</t>
  </si>
  <si>
    <t>Deferred income</t>
  </si>
  <si>
    <t>3.17</t>
  </si>
  <si>
    <t>Borrowings (excl Govt loans)</t>
  </si>
  <si>
    <t>3.18</t>
  </si>
  <si>
    <t>Deferred taxation</t>
  </si>
  <si>
    <t>Non-reg £(1.1)m; IFRS adj £41.2m - DT on IAS19 pension liability</t>
  </si>
  <si>
    <t>3.19</t>
  </si>
  <si>
    <t>3.20</t>
  </si>
  <si>
    <t>Table 4: IFRS Regulatory accounts Income and Expenditure</t>
  </si>
  <si>
    <t>for the Core Business for the year ended 31 March (RAR Proforma 4)</t>
  </si>
  <si>
    <t>4.1</t>
  </si>
  <si>
    <t>T20, L1</t>
  </si>
  <si>
    <t>4.2</t>
  </si>
  <si>
    <t>Operating expenditure (excluding pension contributions)</t>
  </si>
  <si>
    <t>T20, L2</t>
  </si>
  <si>
    <t>4.3</t>
  </si>
  <si>
    <t>PPP operating costs (contract service costs)</t>
  </si>
  <si>
    <t>4.4</t>
  </si>
  <si>
    <t>Scottish Water internal costs related to PPP contracts</t>
  </si>
  <si>
    <t>4.5</t>
  </si>
  <si>
    <t>Pension contributions (annual cash cost)</t>
  </si>
  <si>
    <t>4.6</t>
  </si>
  <si>
    <t>Pension contributions (contribution to reduce the deficit)</t>
  </si>
  <si>
    <t>4.7</t>
  </si>
  <si>
    <t>Depreciation charges - non infrastructure assets</t>
  </si>
  <si>
    <t>4.8</t>
  </si>
  <si>
    <t xml:space="preserve">Depreciation charges - infrastructure assets </t>
  </si>
  <si>
    <t>4.9</t>
  </si>
  <si>
    <t xml:space="preserve">Depreciation charges - PPP assets </t>
  </si>
  <si>
    <t>4.10</t>
  </si>
  <si>
    <t xml:space="preserve">Infrastructure capital maintenance charge </t>
  </si>
  <si>
    <t>4.11</t>
  </si>
  <si>
    <t>4.12</t>
  </si>
  <si>
    <t>T20, L3</t>
  </si>
  <si>
    <t>4.13</t>
  </si>
  <si>
    <t>T20, L5</t>
  </si>
  <si>
    <t>4.14</t>
  </si>
  <si>
    <t>Profit or loss on disposal of fixed assets</t>
  </si>
  <si>
    <t>4.15</t>
  </si>
  <si>
    <t>T20, L6</t>
  </si>
  <si>
    <t>4.16</t>
  </si>
  <si>
    <t xml:space="preserve">Net interest receivable less payable </t>
  </si>
  <si>
    <t>T20, L7</t>
  </si>
  <si>
    <t>4.17</t>
  </si>
  <si>
    <t xml:space="preserve">PPP interest payable </t>
  </si>
  <si>
    <t>NA</t>
  </si>
  <si>
    <t>4.18</t>
  </si>
  <si>
    <t>4.19</t>
  </si>
  <si>
    <t xml:space="preserve">Profit before taxation </t>
  </si>
  <si>
    <t>T20, L9</t>
  </si>
  <si>
    <t>4.20</t>
  </si>
  <si>
    <t>T20, L10</t>
  </si>
  <si>
    <t>4.21</t>
  </si>
  <si>
    <t>4.22</t>
  </si>
  <si>
    <t>Profit on ordinary activities</t>
  </si>
  <si>
    <t>T20, L12</t>
  </si>
  <si>
    <t>4.23</t>
  </si>
  <si>
    <t>Exceptional item, net of taxation</t>
  </si>
  <si>
    <t>T20, L13</t>
  </si>
  <si>
    <t>4.24</t>
  </si>
  <si>
    <t>T20, L14</t>
  </si>
  <si>
    <t>4.25</t>
  </si>
  <si>
    <t>T20, L15</t>
  </si>
  <si>
    <t>4.26</t>
  </si>
  <si>
    <t>Profit retained</t>
  </si>
  <si>
    <t>T20, L16</t>
  </si>
  <si>
    <t>Table 19: Statement of Comprehensive Income</t>
  </si>
  <si>
    <t xml:space="preserve">for the Core Business for the year ended 31 March </t>
  </si>
  <si>
    <t>T18c, L1</t>
  </si>
  <si>
    <t>Actuarial gains/losses on post employment plans</t>
  </si>
  <si>
    <t>T18c, L2</t>
  </si>
  <si>
    <t>Post employment plans - non cash (IAS 19 adjustments), net of tax</t>
  </si>
  <si>
    <t>Other gains and losses</t>
  </si>
  <si>
    <t>T18c, L3</t>
  </si>
  <si>
    <t>Total comprehensive income for the year</t>
  </si>
  <si>
    <t>T18c, L4</t>
  </si>
  <si>
    <t xml:space="preserve">Table 5: IFRS Regulatory accounts Balance Sheet </t>
  </si>
  <si>
    <t>for Core Business as at 31 March (RAR Proforma 5)</t>
  </si>
  <si>
    <t>5.1</t>
  </si>
  <si>
    <t>Tangible assets</t>
  </si>
  <si>
    <t>T24, L1</t>
  </si>
  <si>
    <t>5.2</t>
  </si>
  <si>
    <t xml:space="preserve">PPP assets </t>
  </si>
  <si>
    <t>5.3</t>
  </si>
  <si>
    <t>Third party contributions</t>
  </si>
  <si>
    <t>T24, L2</t>
  </si>
  <si>
    <t>Other Operating Assets and liabilities</t>
  </si>
  <si>
    <t>5.4</t>
  </si>
  <si>
    <t xml:space="preserve">Working capital </t>
  </si>
  <si>
    <t>T24, L3</t>
  </si>
  <si>
    <t>5.5</t>
  </si>
  <si>
    <t>Cash</t>
  </si>
  <si>
    <t>T24, L4</t>
  </si>
  <si>
    <t>5.6</t>
  </si>
  <si>
    <t>T24, L5</t>
  </si>
  <si>
    <t>5.7</t>
  </si>
  <si>
    <t>T24, L6</t>
  </si>
  <si>
    <t>5.8</t>
  </si>
  <si>
    <t xml:space="preserve">Net operating assets </t>
  </si>
  <si>
    <t>T24, L8</t>
  </si>
  <si>
    <t>Non-operating assets and liabilities</t>
  </si>
  <si>
    <t>5.9</t>
  </si>
  <si>
    <t>Borrowings (excl. govt. loans)</t>
  </si>
  <si>
    <t>T24, L9</t>
  </si>
  <si>
    <t>5.10</t>
  </si>
  <si>
    <t>Gilts reserve</t>
  </si>
  <si>
    <t>5.11</t>
  </si>
  <si>
    <t>T24, L12</t>
  </si>
  <si>
    <t>5.12</t>
  </si>
  <si>
    <t>T24, L13</t>
  </si>
  <si>
    <t>5.13</t>
  </si>
  <si>
    <t>T24, L14</t>
  </si>
  <si>
    <t>5.14</t>
  </si>
  <si>
    <t>T24, L15</t>
  </si>
  <si>
    <t>5.15</t>
  </si>
  <si>
    <t>Total non-operating assets and liabilities</t>
  </si>
  <si>
    <t>Creditors - amounts falling due after more than one year</t>
  </si>
  <si>
    <t>5.16</t>
  </si>
  <si>
    <t>T24, L17</t>
  </si>
  <si>
    <t>5.17</t>
  </si>
  <si>
    <t>Other Creditors</t>
  </si>
  <si>
    <t>T24, L18</t>
  </si>
  <si>
    <t>5.18</t>
  </si>
  <si>
    <t>Total Creditors falling due after more than one year</t>
  </si>
  <si>
    <t>Provisions for liabilities &amp; charges</t>
  </si>
  <si>
    <t>5.19</t>
  </si>
  <si>
    <t>T24, L19</t>
  </si>
  <si>
    <t>5.20</t>
  </si>
  <si>
    <t>Post employment asset / (liabilities)</t>
  </si>
  <si>
    <t>T24, L20</t>
  </si>
  <si>
    <t>5.21</t>
  </si>
  <si>
    <t>T24, L21</t>
  </si>
  <si>
    <t>5.22</t>
  </si>
  <si>
    <t>Total provisions</t>
  </si>
  <si>
    <t>5.23</t>
  </si>
  <si>
    <t>Net assets employed</t>
  </si>
  <si>
    <t>T24, L23</t>
  </si>
  <si>
    <t>5.24</t>
  </si>
  <si>
    <t>Government Loans</t>
  </si>
  <si>
    <t>5.25</t>
  </si>
  <si>
    <t>PPP debt/lease (IFRS)</t>
  </si>
  <si>
    <t>5.26</t>
  </si>
  <si>
    <t>Retained earnings</t>
  </si>
  <si>
    <t>T24, L26</t>
  </si>
  <si>
    <t>5.27</t>
  </si>
  <si>
    <t>T24, L28</t>
  </si>
  <si>
    <t>5.28</t>
  </si>
  <si>
    <t>Total capital &amp; reserves</t>
  </si>
  <si>
    <t>T24, L29</t>
  </si>
  <si>
    <t xml:space="preserve">Table 6: Regulatory Income and Expenditure and Cash Flow </t>
  </si>
  <si>
    <t>Statement for Twelve Months ended 31 March (RAR Proforma 6)</t>
  </si>
  <si>
    <t>Regulatory income and expenditure</t>
  </si>
  <si>
    <t>T28, L1</t>
  </si>
  <si>
    <t>Capital maintenance charge</t>
  </si>
  <si>
    <t>Operating profit for regulatory puproses</t>
  </si>
  <si>
    <t>Reconciliation of regulatory operating profit to net cash flow</t>
  </si>
  <si>
    <t>Movement in working capital</t>
  </si>
  <si>
    <t>Other Non-cash adjustments</t>
  </si>
  <si>
    <t>6.16</t>
  </si>
  <si>
    <t xml:space="preserve">Net cash flow from operating activities </t>
  </si>
  <si>
    <t>6.17</t>
  </si>
  <si>
    <t>Taxation paid (i.e. current taxation)</t>
  </si>
  <si>
    <t>T28, L7</t>
  </si>
  <si>
    <t>Returns on investments &amp; servicing of finance</t>
  </si>
  <si>
    <t>6.18</t>
  </si>
  <si>
    <t>Interest received</t>
  </si>
  <si>
    <t>T28, L2</t>
  </si>
  <si>
    <t>6.19</t>
  </si>
  <si>
    <t>Interest paid</t>
  </si>
  <si>
    <t>T28, L3</t>
  </si>
  <si>
    <t>6.20</t>
  </si>
  <si>
    <t>6.21</t>
  </si>
  <si>
    <t xml:space="preserve">PPP finance lease repayments </t>
  </si>
  <si>
    <t>6.22</t>
  </si>
  <si>
    <t>Net cash flow from returns on Investment &amp; servicing of finance</t>
  </si>
  <si>
    <t>T28, L6</t>
  </si>
  <si>
    <t>6.23</t>
  </si>
  <si>
    <t>Net cash flow before capital investment and maintenance charges</t>
  </si>
  <si>
    <t>Capital expenditure and financial investment</t>
  </si>
  <si>
    <t>6.24</t>
  </si>
  <si>
    <t>Capital enhancement expenditure</t>
  </si>
  <si>
    <t>6.25</t>
  </si>
  <si>
    <t>Capital maintenance expenditure</t>
  </si>
  <si>
    <t>6.26</t>
  </si>
  <si>
    <t xml:space="preserve">Receipt of grants and contributions  </t>
  </si>
  <si>
    <t>T28, L9</t>
  </si>
  <si>
    <t>6.27</t>
  </si>
  <si>
    <t>Disposal of fixed assets</t>
  </si>
  <si>
    <t>T28, L11</t>
  </si>
  <si>
    <t>6.28</t>
  </si>
  <si>
    <t>Net cash outflow from investing activities</t>
  </si>
  <si>
    <t>T28, L13</t>
  </si>
  <si>
    <t>6.29</t>
  </si>
  <si>
    <t xml:space="preserve">Net Cash flow before financing </t>
  </si>
  <si>
    <t>T28, L17</t>
  </si>
  <si>
    <t>Financing</t>
  </si>
  <si>
    <t>6.30</t>
  </si>
  <si>
    <t xml:space="preserve">New Government loans </t>
  </si>
  <si>
    <t>6.31</t>
  </si>
  <si>
    <t>Non-Government loan repayments</t>
  </si>
  <si>
    <t>6.32</t>
  </si>
  <si>
    <t>Government loans repayments</t>
  </si>
  <si>
    <t>6.33</t>
  </si>
  <si>
    <t>6.34</t>
  </si>
  <si>
    <t>Net cash inflow from financing</t>
  </si>
  <si>
    <t>T28, L22</t>
  </si>
  <si>
    <t>6.35</t>
  </si>
  <si>
    <t>Increase (decrease) in cash and cash equivalents</t>
  </si>
  <si>
    <t>T28, L23</t>
  </si>
  <si>
    <t>6.36</t>
  </si>
  <si>
    <t>Net cash flow</t>
  </si>
  <si>
    <t>Table 6-R: Regulatory Accounts - Ratio information</t>
  </si>
  <si>
    <t>M Table reference</t>
  </si>
  <si>
    <t>Cash flow from operations</t>
  </si>
  <si>
    <t>M6.16</t>
  </si>
  <si>
    <t>Tax paid</t>
  </si>
  <si>
    <t>M6.17</t>
  </si>
  <si>
    <t>M6.18</t>
  </si>
  <si>
    <t>Interest paid (including PPP)</t>
  </si>
  <si>
    <t>M6.19+M6.20</t>
  </si>
  <si>
    <t>Funds from operations (FFO)</t>
  </si>
  <si>
    <t>M6.25</t>
  </si>
  <si>
    <t>Funds net of capital maintence expenditure</t>
  </si>
  <si>
    <t>Cash &amp; cash equivalents</t>
  </si>
  <si>
    <t>M5.5+M5.6</t>
  </si>
  <si>
    <t>M5.24</t>
  </si>
  <si>
    <t>Other loans (including PPP finance lease)</t>
  </si>
  <si>
    <t>M5.9+M5.16+M5.25</t>
  </si>
  <si>
    <t>Net debt excluding retirement benefit obligations</t>
  </si>
  <si>
    <t>Retirement benefit obligations</t>
  </si>
  <si>
    <t>M5.20</t>
  </si>
  <si>
    <t>Net debt</t>
  </si>
  <si>
    <t>Ratios:</t>
  </si>
  <si>
    <t>FFO / net debt</t>
  </si>
  <si>
    <t>%</t>
  </si>
  <si>
    <t>Cash interest cover [1]</t>
  </si>
  <si>
    <t>Cash interest cover [2]</t>
  </si>
  <si>
    <t>Table 7: Analysis of Turnover and Operating Income (RAR Proforma 7)</t>
  </si>
  <si>
    <t>Water</t>
  </si>
  <si>
    <t>Wastewater</t>
  </si>
  <si>
    <t>Core Business</t>
  </si>
  <si>
    <t>7.1</t>
  </si>
  <si>
    <t>Household</t>
  </si>
  <si>
    <t>7.2</t>
  </si>
  <si>
    <t>Retail Non-Household</t>
  </si>
  <si>
    <t>7.3</t>
  </si>
  <si>
    <t>Wholesale Non-Household</t>
  </si>
  <si>
    <t>7.4</t>
  </si>
  <si>
    <t>Revenue grants</t>
  </si>
  <si>
    <t>7.5</t>
  </si>
  <si>
    <t>Rechargeable works</t>
  </si>
  <si>
    <t>7.6</t>
  </si>
  <si>
    <t>Bulk supplies</t>
  </si>
  <si>
    <t>7.7</t>
  </si>
  <si>
    <t>Other sources (excluding third parties)</t>
  </si>
  <si>
    <t>7.8</t>
  </si>
  <si>
    <t>Third party services</t>
  </si>
  <si>
    <t>7.9</t>
  </si>
  <si>
    <t>Total turnover</t>
  </si>
  <si>
    <t>T23, L16</t>
  </si>
  <si>
    <t>7.10</t>
  </si>
  <si>
    <t>Exceptional items</t>
  </si>
  <si>
    <t>T23, L18</t>
  </si>
  <si>
    <t>7.11</t>
  </si>
  <si>
    <t>Other operating income</t>
  </si>
  <si>
    <t>T23, L19</t>
  </si>
  <si>
    <t>7.12</t>
  </si>
  <si>
    <t>Total operating income</t>
  </si>
  <si>
    <t>T23, L20</t>
  </si>
  <si>
    <t xml:space="preserve">Memo line: Change in Household revenue compared to the previous year </t>
  </si>
  <si>
    <t>7.13</t>
  </si>
  <si>
    <t>Change in revenue from the average price increase</t>
  </si>
  <si>
    <t>7.14</t>
  </si>
  <si>
    <t>Change in revenue from growth in Band D equivalents</t>
  </si>
  <si>
    <t>7.15</t>
  </si>
  <si>
    <t>Change in revenue due to other factors</t>
  </si>
  <si>
    <t>7.16</t>
  </si>
  <si>
    <t>Total change in Household revenue compared to the previous year</t>
  </si>
  <si>
    <t>Memo line: Change in Wholesale Non-Household revenue compared to the previous year</t>
  </si>
  <si>
    <t>7.17</t>
  </si>
  <si>
    <t>7.18</t>
  </si>
  <si>
    <t>Change in revenue from changes in volumes</t>
  </si>
  <si>
    <t>7.19</t>
  </si>
  <si>
    <t>7.20</t>
  </si>
  <si>
    <t>Total change in Non-Household revenue compared to the previous year</t>
  </si>
  <si>
    <t>Memo line: Wholesale Non-Household revenue</t>
  </si>
  <si>
    <t>7.21</t>
  </si>
  <si>
    <t>Revenue from GAP sites scheme (included in line 7.3)</t>
  </si>
  <si>
    <t>7.22</t>
  </si>
  <si>
    <t>Revenue from vacant charging (included in line 7.3)</t>
  </si>
  <si>
    <t xml:space="preserve">Table 11: Regulatory Accounts Working Capital (Core) - RAR Proforma 11 </t>
  </si>
  <si>
    <t>2017-18</t>
  </si>
  <si>
    <t>2019-20</t>
  </si>
  <si>
    <t>JR10</t>
  </si>
  <si>
    <t>11.1</t>
  </si>
  <si>
    <t>T26, L1</t>
  </si>
  <si>
    <t>11.2</t>
  </si>
  <si>
    <t>Trade debtors - Household</t>
  </si>
  <si>
    <t>11.3</t>
  </si>
  <si>
    <t>Trade debtors - Non Household (licensed businesses)</t>
  </si>
  <si>
    <t>11.4</t>
  </si>
  <si>
    <t>Other trade debtors</t>
  </si>
  <si>
    <t>T26, L6</t>
  </si>
  <si>
    <t>11.5</t>
  </si>
  <si>
    <t>Measured income accrual</t>
  </si>
  <si>
    <t>T26, L7</t>
  </si>
  <si>
    <t>11.6</t>
  </si>
  <si>
    <t xml:space="preserve">Prepayments and other short term debtors </t>
  </si>
  <si>
    <t>T26, L8</t>
  </si>
  <si>
    <t>11.7</t>
  </si>
  <si>
    <t xml:space="preserve">Trade creditors </t>
  </si>
  <si>
    <t>T26, L9</t>
  </si>
  <si>
    <t>11.8</t>
  </si>
  <si>
    <t>Wholesale charge prepayment</t>
  </si>
  <si>
    <t>11.9</t>
  </si>
  <si>
    <t>Deferred income - customer advance receipts</t>
  </si>
  <si>
    <t>T26, L10</t>
  </si>
  <si>
    <t>11.10</t>
  </si>
  <si>
    <t xml:space="preserve">Short-term capital creditors </t>
  </si>
  <si>
    <t>T26, L11</t>
  </si>
  <si>
    <t>11.11</t>
  </si>
  <si>
    <t>Credit note provisions</t>
  </si>
  <si>
    <t>11.12</t>
  </si>
  <si>
    <t xml:space="preserve">Accruals and other creditors </t>
  </si>
  <si>
    <t>T26, L12</t>
  </si>
  <si>
    <t>11.13</t>
  </si>
  <si>
    <t>Total working capital excluding third party contributions</t>
  </si>
  <si>
    <t>T26, L13</t>
  </si>
  <si>
    <t>11.14</t>
  </si>
  <si>
    <t>Third party contributions (deferred income - grants)</t>
  </si>
  <si>
    <t>11.15</t>
  </si>
  <si>
    <t>Net total receivables / (payables)</t>
  </si>
  <si>
    <t>M5.4</t>
  </si>
  <si>
    <t>Working capital - net total due under one year</t>
  </si>
  <si>
    <t>M5.17</t>
  </si>
  <si>
    <t>Payables due in over one year</t>
  </si>
  <si>
    <t>Table M18 W: Activity Based Costing - Water Service (Proforma 18 water)</t>
  </si>
  <si>
    <t xml:space="preserve"> </t>
  </si>
  <si>
    <t>NON-CORE/NON-LICENSED</t>
  </si>
  <si>
    <t>CORE / LICENSED</t>
  </si>
  <si>
    <t>WHOLESALE</t>
  </si>
  <si>
    <t>RETAIL</t>
  </si>
  <si>
    <t>Ofwat</t>
  </si>
  <si>
    <t>Water Resources &amp; Treatment</t>
  </si>
  <si>
    <t xml:space="preserve"> Wholesale</t>
  </si>
  <si>
    <t>Retail</t>
  </si>
  <si>
    <t>Retail - Non Domestic</t>
  </si>
  <si>
    <t>Ref.</t>
  </si>
  <si>
    <t>Ref</t>
  </si>
  <si>
    <t>Source</t>
  </si>
  <si>
    <t>Trtmt</t>
  </si>
  <si>
    <t>Distribution</t>
  </si>
  <si>
    <t>Domestic</t>
  </si>
  <si>
    <t>Non</t>
  </si>
  <si>
    <t>Service</t>
  </si>
  <si>
    <t>Measd</t>
  </si>
  <si>
    <t>Core Total</t>
  </si>
  <si>
    <t>CG</t>
  </si>
  <si>
    <t>Service Analysis - Water : Direct Costs</t>
  </si>
  <si>
    <t xml:space="preserve">  </t>
  </si>
  <si>
    <t>M18.1</t>
  </si>
  <si>
    <t>Employment costs</t>
  </si>
  <si>
    <t>T21, L1</t>
  </si>
  <si>
    <t>I/C</t>
  </si>
  <si>
    <t>A2</t>
  </si>
  <si>
    <t>M18.2</t>
  </si>
  <si>
    <t>Power</t>
  </si>
  <si>
    <t>T21, L2</t>
  </si>
  <si>
    <t>M18.3</t>
  </si>
  <si>
    <t>Hired and contracted services</t>
  </si>
  <si>
    <t>T21, L4</t>
  </si>
  <si>
    <t>M18.4</t>
  </si>
  <si>
    <t>Materials and consumables</t>
  </si>
  <si>
    <t>T21, L6</t>
  </si>
  <si>
    <t>M18.5</t>
  </si>
  <si>
    <t>Service charges SEPA</t>
  </si>
  <si>
    <t>T21, L7</t>
  </si>
  <si>
    <t>M18.6</t>
  </si>
  <si>
    <t>Bulk supply imports</t>
  </si>
  <si>
    <t>T21, L8</t>
  </si>
  <si>
    <t>M18.7</t>
  </si>
  <si>
    <t>Contract Management</t>
  </si>
  <si>
    <t>M18.8</t>
  </si>
  <si>
    <t>Meter Maintenance &amp; Installation</t>
  </si>
  <si>
    <t>M18.9</t>
  </si>
  <si>
    <t>Other direct costs</t>
  </si>
  <si>
    <t>T21, L9</t>
  </si>
  <si>
    <t>M18.10</t>
  </si>
  <si>
    <t xml:space="preserve">Contract Management </t>
  </si>
  <si>
    <t>M18.11</t>
  </si>
  <si>
    <t>Manage Billing Data</t>
  </si>
  <si>
    <t>M18.12</t>
  </si>
  <si>
    <t>Generate &amp; Issue Bills</t>
  </si>
  <si>
    <t>M18.13</t>
  </si>
  <si>
    <t>Handle Billing Enquiries</t>
  </si>
  <si>
    <t>M18.14</t>
  </si>
  <si>
    <t>Handle Billing Exceptions</t>
  </si>
  <si>
    <t>M18.15</t>
  </si>
  <si>
    <t>Handle Billing Complaints</t>
  </si>
  <si>
    <t>M18.16</t>
  </si>
  <si>
    <t>Meter Reading</t>
  </si>
  <si>
    <t>M18.17</t>
  </si>
  <si>
    <t>Costs of Meter maintenance &amp; Installation</t>
  </si>
  <si>
    <t>M18.18</t>
  </si>
  <si>
    <t>Handle Metering Enquiries</t>
  </si>
  <si>
    <t>M18.19</t>
  </si>
  <si>
    <t>Handling Metering Complaints</t>
  </si>
  <si>
    <t>M18.20</t>
  </si>
  <si>
    <t>Remittance &amp; Cash Processing</t>
  </si>
  <si>
    <t>M18.21</t>
  </si>
  <si>
    <t>Debt Management exc Bad debt charge</t>
  </si>
  <si>
    <t>M18.22</t>
  </si>
  <si>
    <t>External Debt recovery</t>
  </si>
  <si>
    <t>M18.23</t>
  </si>
  <si>
    <t>Disconnections</t>
  </si>
  <si>
    <t>M18.24</t>
  </si>
  <si>
    <t>Handle Payment/Plan Enquiries</t>
  </si>
  <si>
    <t>M18.25</t>
  </si>
  <si>
    <t xml:space="preserve">Advertising / Marketing </t>
  </si>
  <si>
    <t>M18.26</t>
  </si>
  <si>
    <t xml:space="preserve">Account Management </t>
  </si>
  <si>
    <t>M18.27</t>
  </si>
  <si>
    <t>Manage GSS Payments</t>
  </si>
  <si>
    <t>M18.28</t>
  </si>
  <si>
    <t>Handle Customer operational  calls</t>
  </si>
  <si>
    <t>M18.29</t>
  </si>
  <si>
    <t xml:space="preserve">Other Direct Costs </t>
  </si>
  <si>
    <t>M18.30</t>
  </si>
  <si>
    <t xml:space="preserve">Direct employment costs </t>
  </si>
  <si>
    <t>M18.31</t>
  </si>
  <si>
    <t>IT (exc employment)</t>
  </si>
  <si>
    <t>1/C</t>
  </si>
  <si>
    <t>M18.32</t>
  </si>
  <si>
    <t>Total direct costs</t>
  </si>
  <si>
    <t>T21, L10</t>
  </si>
  <si>
    <t>M18.33</t>
  </si>
  <si>
    <t>General and support costs</t>
  </si>
  <si>
    <t>T21,L11</t>
  </si>
  <si>
    <t>M18.34</t>
  </si>
  <si>
    <t>Functional expenditure</t>
  </si>
  <si>
    <t>T21, L12</t>
  </si>
  <si>
    <t>Business Activities</t>
  </si>
  <si>
    <t>M18.35</t>
  </si>
  <si>
    <t>Scientific services</t>
  </si>
  <si>
    <t>T21, L14</t>
  </si>
  <si>
    <t>M18.36</t>
  </si>
  <si>
    <t>Cost of Regulation</t>
  </si>
  <si>
    <t>T21, L15</t>
  </si>
  <si>
    <t>M18.37</t>
  </si>
  <si>
    <t>Total business activities</t>
  </si>
  <si>
    <t>T21, L16</t>
  </si>
  <si>
    <t>M18.38</t>
  </si>
  <si>
    <t>Local authority rates</t>
  </si>
  <si>
    <t>T21, L17</t>
  </si>
  <si>
    <t>M18.39</t>
  </si>
  <si>
    <t>Bad Debt charge</t>
  </si>
  <si>
    <t>T21, L18</t>
  </si>
  <si>
    <t>M18.40</t>
  </si>
  <si>
    <t>Total Exceptional items</t>
  </si>
  <si>
    <t>T21, L19</t>
  </si>
  <si>
    <t>M18.41</t>
  </si>
  <si>
    <t>Total opex less third party services</t>
  </si>
  <si>
    <t>T21, L20</t>
  </si>
  <si>
    <t>M18.42</t>
  </si>
  <si>
    <t>Third party services - opex</t>
  </si>
  <si>
    <t>T21, L21</t>
  </si>
  <si>
    <t>M18.43</t>
  </si>
  <si>
    <t>Total operating expenditure</t>
  </si>
  <si>
    <t>T21, L22</t>
  </si>
  <si>
    <t>Reactive and Planned Maintenance (included in Opex)</t>
  </si>
  <si>
    <t>M18.44</t>
  </si>
  <si>
    <t>Reactive and planned maintenance infrastructure</t>
  </si>
  <si>
    <t>T21,L23</t>
  </si>
  <si>
    <t>A3</t>
  </si>
  <si>
    <t>M18.45</t>
  </si>
  <si>
    <t>Reactive and planned maintenance non-infrastructure</t>
  </si>
  <si>
    <t>T21,L24</t>
  </si>
  <si>
    <t>Capital Maintenance</t>
  </si>
  <si>
    <t>M18.46</t>
  </si>
  <si>
    <t>Infrastructure renewals expenditure</t>
  </si>
  <si>
    <t>T21, L25</t>
  </si>
  <si>
    <t>M18.47</t>
  </si>
  <si>
    <t>Infrastructure renewals accrual or prepayment</t>
  </si>
  <si>
    <t>T21.,L26</t>
  </si>
  <si>
    <t>M18.48</t>
  </si>
  <si>
    <t>Non-infrastructure depreciation charge</t>
  </si>
  <si>
    <t>M18.49</t>
  </si>
  <si>
    <t>Amortisation of deferred credits</t>
  </si>
  <si>
    <t>T21, L28</t>
  </si>
  <si>
    <t>M18.50</t>
  </si>
  <si>
    <t>Amortisation of intangible assets</t>
  </si>
  <si>
    <t>T21, L29</t>
  </si>
  <si>
    <t>M18.51</t>
  </si>
  <si>
    <t>Business activities depreciation charge</t>
  </si>
  <si>
    <t>T21, L30</t>
  </si>
  <si>
    <t>M18.52</t>
  </si>
  <si>
    <t>Capital maintenance less third party services</t>
  </si>
  <si>
    <t>T21, L31</t>
  </si>
  <si>
    <t>M18.53</t>
  </si>
  <si>
    <t>Third party services - depreciation</t>
  </si>
  <si>
    <t>T21, L32</t>
  </si>
  <si>
    <t>M18.54</t>
  </si>
  <si>
    <t>Total capital maintenance</t>
  </si>
  <si>
    <t>T21, L33</t>
  </si>
  <si>
    <t>M18.55</t>
  </si>
  <si>
    <t>Total operating costs</t>
  </si>
  <si>
    <t>T21,L34</t>
  </si>
  <si>
    <t>Table M18 WW: Activity Based Costing - Waste Water Service (Proforma 18 wastewater)</t>
  </si>
  <si>
    <t xml:space="preserve">Sewerage           </t>
  </si>
  <si>
    <t>Sewage</t>
  </si>
  <si>
    <t>Sludge</t>
  </si>
  <si>
    <t>Treatment</t>
  </si>
  <si>
    <t>&amp; Disposal</t>
  </si>
  <si>
    <t>Service Analysis - Sewerage : Direct Costs</t>
  </si>
  <si>
    <t xml:space="preserve">Annual charge for PPP schemes </t>
  </si>
  <si>
    <t>Internal cost of PPP schemes</t>
  </si>
  <si>
    <t>Generate &amp;Issue Bills</t>
  </si>
  <si>
    <t>Costs of meter maintenance and installation</t>
  </si>
  <si>
    <t>T21.l26</t>
  </si>
  <si>
    <t>M18.56</t>
  </si>
  <si>
    <t>Table 21:  Taxation Analysis (core)  - RAR Proforma 21</t>
  </si>
  <si>
    <t>Allocation of capital expenditure for tax purposes</t>
  </si>
  <si>
    <t>21.1</t>
  </si>
  <si>
    <t>Work in progress - Opening amount</t>
  </si>
  <si>
    <t>-</t>
  </si>
  <si>
    <t>21.2</t>
  </si>
  <si>
    <t>Work in progress (portion where capital allowances have not been claimed) - opening</t>
  </si>
  <si>
    <t>21.3</t>
  </si>
  <si>
    <t xml:space="preserve">Total Spend in year </t>
  </si>
  <si>
    <t>21.4</t>
  </si>
  <si>
    <t>Total capitalised expenditure including IRE (outturn prices) excluding grants</t>
  </si>
  <si>
    <t>T18b, L12</t>
  </si>
  <si>
    <t>21.5</t>
  </si>
  <si>
    <t>Capitalised expenditure allocated for capital allowances (including Work in progress)</t>
  </si>
  <si>
    <t>21.6</t>
  </si>
  <si>
    <t>Work in progress (portion where capital allowances have not been claimed) - closing</t>
  </si>
  <si>
    <t>21.7</t>
  </si>
  <si>
    <t>Assets qualifying for 100% first year allowances</t>
  </si>
  <si>
    <t>T18b, L1</t>
  </si>
  <si>
    <t>21.8</t>
  </si>
  <si>
    <t>Assets to be included in the general (18%) pool</t>
  </si>
  <si>
    <t>T18b, L2</t>
  </si>
  <si>
    <t>21.9</t>
  </si>
  <si>
    <t>Assets qualifying for long life (8%) pool</t>
  </si>
  <si>
    <t>T18b, L3</t>
  </si>
  <si>
    <t>21.10</t>
  </si>
  <si>
    <t>Assets qualifying for Industrial Buildings Allowance</t>
  </si>
  <si>
    <t>T18b, L4</t>
  </si>
  <si>
    <t>21.11</t>
  </si>
  <si>
    <t>Assets purchased under finance leasing</t>
  </si>
  <si>
    <t>T18b, L5</t>
  </si>
  <si>
    <t>21.12</t>
  </si>
  <si>
    <t>Capitalised revenue expenditure deducted in year of spend</t>
  </si>
  <si>
    <t>T18b, L6</t>
  </si>
  <si>
    <t>21.13</t>
  </si>
  <si>
    <t>Capitalised revenue expenditure depreciated  - non – infrastructure</t>
  </si>
  <si>
    <t>T18b, L7</t>
  </si>
  <si>
    <t>21.14</t>
  </si>
  <si>
    <t>Capitalised revenue expenditure depreciated –  infrastructure</t>
  </si>
  <si>
    <t>T18b, L8</t>
  </si>
  <si>
    <t>21.15</t>
  </si>
  <si>
    <t>Capitalised revenue expenditure not depreciated</t>
  </si>
  <si>
    <t>T18b, L9</t>
  </si>
  <si>
    <t>21.16</t>
  </si>
  <si>
    <t>Other assets not qualifying for capital allowances or revenue deductions</t>
  </si>
  <si>
    <t>T18b, L10</t>
  </si>
  <si>
    <t>21.17</t>
  </si>
  <si>
    <t>Grants and contributions taxable on receipt</t>
  </si>
  <si>
    <t>T18b, L11</t>
  </si>
  <si>
    <t>Opening position</t>
  </si>
  <si>
    <t>21.18</t>
  </si>
  <si>
    <t>Average asset life – non - infrastructure</t>
  </si>
  <si>
    <t>T18b, L13</t>
  </si>
  <si>
    <t>Years</t>
  </si>
  <si>
    <t>21.19</t>
  </si>
  <si>
    <t>Average asset life – infrastructure</t>
  </si>
  <si>
    <t>T18b, L14</t>
  </si>
  <si>
    <t>21.20</t>
  </si>
  <si>
    <t>Opening pool of capital allowances – asset life &lt; 25 years</t>
  </si>
  <si>
    <t>T18b, L15</t>
  </si>
  <si>
    <t>21.21</t>
  </si>
  <si>
    <t>Opening pool of capital allowances – asset life &gt;= 25 years</t>
  </si>
  <si>
    <t>T18b, L16</t>
  </si>
  <si>
    <t>21.22</t>
  </si>
  <si>
    <t>Residual IBA’s</t>
  </si>
  <si>
    <t>T18b, L17</t>
  </si>
  <si>
    <t>21.23</t>
  </si>
  <si>
    <t>General provisions – opening balance</t>
  </si>
  <si>
    <t>21.24</t>
  </si>
  <si>
    <t>Losses brought forward</t>
  </si>
  <si>
    <t>T18b, L18</t>
  </si>
  <si>
    <t>Calculation of trading profit</t>
  </si>
  <si>
    <t>21.25</t>
  </si>
  <si>
    <t>HCA Operating profit</t>
  </si>
  <si>
    <t>T18a, L1</t>
  </si>
  <si>
    <t>21.26</t>
  </si>
  <si>
    <t>Total HCA Depreciation</t>
  </si>
  <si>
    <t>T18a, L2</t>
  </si>
  <si>
    <t>21.27</t>
  </si>
  <si>
    <t>HCA Infrastructure renewals charge</t>
  </si>
  <si>
    <t>T18a, L3</t>
  </si>
  <si>
    <t>21.28</t>
  </si>
  <si>
    <t>HCA Amortisation of PPP assets</t>
  </si>
  <si>
    <t>21.29</t>
  </si>
  <si>
    <t>HCA Amortisation of grants</t>
  </si>
  <si>
    <t>21.30</t>
  </si>
  <si>
    <t>Deduction for capitalised revenue expenditure</t>
  </si>
  <si>
    <t>T18a, L4</t>
  </si>
  <si>
    <t>21.31</t>
  </si>
  <si>
    <t>Trading profit</t>
  </si>
  <si>
    <t>T18a, L5</t>
  </si>
  <si>
    <t>Deductions to trading profit</t>
  </si>
  <si>
    <t>21.32</t>
  </si>
  <si>
    <t>Depreciation on capitalised revenue expenditure – non – infrastructure</t>
  </si>
  <si>
    <t>T18a, L6</t>
  </si>
  <si>
    <t>21.33</t>
  </si>
  <si>
    <t>Depreciation on capitalised revenue expenditure – infrastructure</t>
  </si>
  <si>
    <t>T18a, L7</t>
  </si>
  <si>
    <t>21.34</t>
  </si>
  <si>
    <t>Total interest paid</t>
  </si>
  <si>
    <t>T18a, L8</t>
  </si>
  <si>
    <t>21.35</t>
  </si>
  <si>
    <t>Capital allowances - asset life &lt;25 years</t>
  </si>
  <si>
    <t>T18a, L9</t>
  </si>
  <si>
    <t>21.36</t>
  </si>
  <si>
    <t>Capital allowances - asset life &gt;=25 years</t>
  </si>
  <si>
    <t>T18a, L10</t>
  </si>
  <si>
    <t>21.37</t>
  </si>
  <si>
    <t>Industrial building allowance utilised</t>
  </si>
  <si>
    <t>T18a, L11</t>
  </si>
  <si>
    <t>21.38</t>
  </si>
  <si>
    <t>Other deductions</t>
  </si>
  <si>
    <t>T18a, L12</t>
  </si>
  <si>
    <t>21.39</t>
  </si>
  <si>
    <t>Total deductions</t>
  </si>
  <si>
    <t>T18a, L13</t>
  </si>
  <si>
    <t>Additions to trading profit</t>
  </si>
  <si>
    <t>21.40</t>
  </si>
  <si>
    <t>T18a, L14</t>
  </si>
  <si>
    <t>21.41</t>
  </si>
  <si>
    <t>Other additions</t>
  </si>
  <si>
    <t>T18a, L15</t>
  </si>
  <si>
    <t>21.42</t>
  </si>
  <si>
    <t>Total additions</t>
  </si>
  <si>
    <t>T18a, L16</t>
  </si>
  <si>
    <t>21.43</t>
  </si>
  <si>
    <t>Trading profit for tax</t>
  </si>
  <si>
    <t>T18a, L17</t>
  </si>
  <si>
    <t>21.44</t>
  </si>
  <si>
    <t>Adjusted trading profit for tax</t>
  </si>
  <si>
    <t>T18a, L18</t>
  </si>
  <si>
    <t>21.45</t>
  </si>
  <si>
    <t>Current tax charge</t>
  </si>
  <si>
    <t>T18a, L19</t>
  </si>
  <si>
    <t>21.46</t>
  </si>
  <si>
    <t>Prior Year adjustments</t>
  </si>
  <si>
    <t>T18a, L20</t>
  </si>
  <si>
    <t>21.47</t>
  </si>
  <si>
    <t>Total current tax charge</t>
  </si>
  <si>
    <t>T18a, L22</t>
  </si>
  <si>
    <r>
      <t>Table 22: Fixed asset additions and expected depreciation - RAR Proforma 22</t>
    </r>
    <r>
      <rPr>
        <b/>
        <sz val="12"/>
        <color indexed="10"/>
        <rFont val="Arial"/>
        <family val="2"/>
      </rPr>
      <t xml:space="preserve"> </t>
    </r>
  </si>
  <si>
    <t>Non-Infrastructure asset additions by asset life (enhancement)</t>
  </si>
  <si>
    <t>22.1</t>
  </si>
  <si>
    <t>Very Short</t>
  </si>
  <si>
    <t>T34, L1</t>
  </si>
  <si>
    <t>I, C</t>
  </si>
  <si>
    <t>22.2</t>
  </si>
  <si>
    <t>Short</t>
  </si>
  <si>
    <t>T34, L2</t>
  </si>
  <si>
    <t>22.3</t>
  </si>
  <si>
    <t>Medium</t>
  </si>
  <si>
    <t>T34, L3</t>
  </si>
  <si>
    <t>22.4</t>
  </si>
  <si>
    <t>Medium long</t>
  </si>
  <si>
    <t>T34, L4</t>
  </si>
  <si>
    <t>22.5</t>
  </si>
  <si>
    <t>Long</t>
  </si>
  <si>
    <t>T34, L5</t>
  </si>
  <si>
    <t>22.6</t>
  </si>
  <si>
    <t>Land</t>
  </si>
  <si>
    <t>T34, L6</t>
  </si>
  <si>
    <t>22.7</t>
  </si>
  <si>
    <t>Land Disposals</t>
  </si>
  <si>
    <t>T34, L7</t>
  </si>
  <si>
    <t>22.8</t>
  </si>
  <si>
    <t>T34, L8</t>
  </si>
  <si>
    <t>Non-Infrastructure asset additions by asset life (base)</t>
  </si>
  <si>
    <t>22.9</t>
  </si>
  <si>
    <t>T34, L9</t>
  </si>
  <si>
    <t>22.10</t>
  </si>
  <si>
    <t>T34, L10</t>
  </si>
  <si>
    <t>22.11</t>
  </si>
  <si>
    <t>T34, L11</t>
  </si>
  <si>
    <t>22.12</t>
  </si>
  <si>
    <t>T34, L12</t>
  </si>
  <si>
    <t>22.13</t>
  </si>
  <si>
    <t>T34, L13</t>
  </si>
  <si>
    <t>22.14</t>
  </si>
  <si>
    <t>T34, L14</t>
  </si>
  <si>
    <t>Non-Infrastructure additions average life (years)</t>
  </si>
  <si>
    <t>22.15</t>
  </si>
  <si>
    <t>T34, L15</t>
  </si>
  <si>
    <t>years</t>
  </si>
  <si>
    <t>22.16</t>
  </si>
  <si>
    <t>T34, L16</t>
  </si>
  <si>
    <t>22.17</t>
  </si>
  <si>
    <t>T34, L17</t>
  </si>
  <si>
    <t>22.18</t>
  </si>
  <si>
    <t>T34, L18</t>
  </si>
  <si>
    <t>22.19</t>
  </si>
  <si>
    <t>T34, L19</t>
  </si>
  <si>
    <t>Infrastructure Renewals charges, expenditure and provision</t>
  </si>
  <si>
    <t>22.20</t>
  </si>
  <si>
    <t>T33, L11</t>
  </si>
  <si>
    <t>22.21</t>
  </si>
  <si>
    <t>Infrastructure renewals charges</t>
  </si>
  <si>
    <t>T33, L12</t>
  </si>
  <si>
    <t>22.22</t>
  </si>
  <si>
    <t>Infrastructure renewals prepayment/ (accrual)</t>
  </si>
  <si>
    <t>T33, L13</t>
  </si>
  <si>
    <t>Table 27a: IFRS Regulatory accounts Income and Expenditure</t>
  </si>
  <si>
    <t>Licensed</t>
  </si>
  <si>
    <t>Intercompany</t>
  </si>
  <si>
    <t>Consolidated total</t>
  </si>
  <si>
    <t xml:space="preserve">Consolidated </t>
  </si>
  <si>
    <t>eliminations</t>
  </si>
  <si>
    <t>Core/licensed</t>
  </si>
  <si>
    <t>Non licensed</t>
  </si>
  <si>
    <t>27.1</t>
  </si>
  <si>
    <t>27.2</t>
  </si>
  <si>
    <t>27.3</t>
  </si>
  <si>
    <t>27.4</t>
  </si>
  <si>
    <t>27.5</t>
  </si>
  <si>
    <t>27.6</t>
  </si>
  <si>
    <t>27.7</t>
  </si>
  <si>
    <t>27.8</t>
  </si>
  <si>
    <t>27.9</t>
  </si>
  <si>
    <t>27.10</t>
  </si>
  <si>
    <t>27.11</t>
  </si>
  <si>
    <t>27.12</t>
  </si>
  <si>
    <t>27.13</t>
  </si>
  <si>
    <t>27.14</t>
  </si>
  <si>
    <t>27.15</t>
  </si>
  <si>
    <t>27.16</t>
  </si>
  <si>
    <t>27.17</t>
  </si>
  <si>
    <t>27.18</t>
  </si>
  <si>
    <t>27.19</t>
  </si>
  <si>
    <t>27.20</t>
  </si>
  <si>
    <t>27.21</t>
  </si>
  <si>
    <t>27.22</t>
  </si>
  <si>
    <t>27.23</t>
  </si>
  <si>
    <t>27.24</t>
  </si>
  <si>
    <t>27.25</t>
  </si>
  <si>
    <t>27.26</t>
  </si>
  <si>
    <t>Table 27b: Statement of Comprehensive Income</t>
  </si>
  <si>
    <t>27.27</t>
  </si>
  <si>
    <t>27.28</t>
  </si>
  <si>
    <t>27.29</t>
  </si>
  <si>
    <t>27.30</t>
  </si>
  <si>
    <t>27.31</t>
  </si>
  <si>
    <t xml:space="preserve">Table 28a: IFRS Regulatory accounts Balance Sheet </t>
  </si>
  <si>
    <t>Licenced</t>
  </si>
  <si>
    <r>
      <t>Government Loans</t>
    </r>
    <r>
      <rPr>
        <sz val="10"/>
        <color rgb="FFFF0000"/>
        <rFont val="Arial"/>
        <family val="2"/>
      </rPr>
      <t xml:space="preserve"> / Share capital</t>
    </r>
  </si>
  <si>
    <t>Reference</t>
  </si>
  <si>
    <t>Lender</t>
  </si>
  <si>
    <t>Borrower</t>
  </si>
  <si>
    <t>Term</t>
  </si>
  <si>
    <t>Drawdown date</t>
  </si>
  <si>
    <t>Maturity date</t>
  </si>
  <si>
    <t>Principal (£)</t>
  </si>
  <si>
    <t>Interest rate</t>
  </si>
  <si>
    <t>SCF</t>
  </si>
  <si>
    <t>SW</t>
  </si>
  <si>
    <t>PWLB</t>
  </si>
  <si>
    <t>ESWA</t>
  </si>
  <si>
    <t>WOSWA</t>
  </si>
  <si>
    <t>NOSWA</t>
  </si>
  <si>
    <t>NLF</t>
  </si>
  <si>
    <t>HSBC</t>
  </si>
  <si>
    <t>1189</t>
  </si>
  <si>
    <t>1168</t>
  </si>
  <si>
    <t>1167</t>
  </si>
  <si>
    <t>1166</t>
  </si>
  <si>
    <t>1170</t>
  </si>
  <si>
    <t>Table 31: Inventory of loans with periodic principal repayment (loans matured in 2019-20 and loans maturing after 31 March 2020)</t>
  </si>
  <si>
    <t>Principal repayment</t>
  </si>
  <si>
    <t>After 31/03/20</t>
  </si>
  <si>
    <t>semi - annually</t>
  </si>
  <si>
    <t>reportminus5</t>
  </si>
  <si>
    <t>2014-15</t>
  </si>
  <si>
    <t>reportminus4</t>
  </si>
  <si>
    <t>2015-16</t>
  </si>
  <si>
    <t>reportminus3</t>
  </si>
  <si>
    <t>2016-17</t>
  </si>
  <si>
    <t>reportminus2</t>
  </si>
  <si>
    <t>reportminus1</t>
  </si>
  <si>
    <t>reportyear</t>
  </si>
  <si>
    <t>reportyearplus1</t>
  </si>
  <si>
    <t>2020-21</t>
  </si>
  <si>
    <t>reportyearplus2</t>
  </si>
  <si>
    <t>2021-22</t>
  </si>
  <si>
    <t>reportyearplus3</t>
  </si>
  <si>
    <t>2022-23</t>
  </si>
  <si>
    <t>reportyearplus4</t>
  </si>
  <si>
    <t>2023-24</t>
  </si>
  <si>
    <t>reportyearplus5</t>
  </si>
  <si>
    <t>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</si>
</sst>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00"/>
    <numFmt numFmtId="165" formatCode="0.0"/>
    <numFmt numFmtId="166" formatCode="#,##0.000_ ;[Red]\-#,##0.000\ "/>
    <numFmt numFmtId="167" formatCode="0.0%"/>
    <numFmt numFmtId="168" formatCode="#,##0;\(#,##0\)"/>
    <numFmt numFmtId="169" formatCode="&quot;$&quot;#,##0.00"/>
    <numFmt numFmtId="170" formatCode=";[Red]&quot;Error&quot;;[Green]&quot;OK&quot;;"/>
    <numFmt numFmtId="171" formatCode="_-[$€-2]* #,##0.00_-;\-[$€-2]* #,##0.00_-;_-[$€-2]* &quot;-&quot;??_-"/>
    <numFmt numFmtId="172" formatCode="#,##0.00;[Red]\(#,##0.00\)"/>
    <numFmt numFmtId="173" formatCode="#,##0;\(#,##0\);&quot;- &quot;"/>
    <numFmt numFmtId="174" formatCode="0.00_)"/>
    <numFmt numFmtId="175" formatCode="#,##0.00;\(#,##0.00\)"/>
    <numFmt numFmtId="176" formatCode="#,##0,;[Red]\(#,##0,\)"/>
    <numFmt numFmtId="177" formatCode="#,##0_);[Red]\(#,##0\)"/>
    <numFmt numFmtId="178" formatCode="#,##0.0,,\ ;\(#,##0.0,,\)"/>
    <numFmt numFmtId="179" formatCode="_-* #,##0.00_-;[Red]\-* #,##0.00_-;_-* &quot;-&quot;??_-;_-@_-"/>
    <numFmt numFmtId="180" formatCode="dd/mm/yyyy;@"/>
    <numFmt numFmtId="181" formatCode="_(* #,##0.00_);_(* \(#,##0.00\);_(* &quot;-&quot;??_);_(@_)"/>
    <numFmt numFmtId="182" formatCode="#,##0.000_ ;[Red]\-#,##0.000\ ;[Blue]0.000\ "/>
    <numFmt numFmtId="183" formatCode="#,##0.0_ ;\-#,##0.0\ "/>
  </numFmts>
  <fonts count="16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sz val="12"/>
      <color indexed="8"/>
      <name val="Arial,Bold"/>
    </font>
    <font>
      <b/>
      <sz val="9"/>
      <color indexed="8"/>
      <name val="Arial,Bold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,Bold"/>
    </font>
    <font>
      <sz val="10"/>
      <color indexed="8"/>
      <name val="Arial,Bold"/>
    </font>
    <font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Arial,Bold"/>
    </font>
    <font>
      <sz val="10"/>
      <name val="Arial"/>
      <family val="2"/>
    </font>
    <font>
      <b/>
      <sz val="12"/>
      <name val="Arial"/>
      <family val="2"/>
    </font>
    <font>
      <sz val="18"/>
      <name val="Arial MT"/>
      <family val="2"/>
    </font>
    <font>
      <sz val="12"/>
      <name val="Arial MT"/>
    </font>
    <font>
      <sz val="10"/>
      <name val="Arial,Bold"/>
    </font>
    <font>
      <sz val="10"/>
      <name val="Arial"/>
      <family val="2"/>
    </font>
    <font>
      <b/>
      <sz val="14"/>
      <name val="Arial"/>
      <family val="2"/>
    </font>
    <font>
      <i/>
      <sz val="10"/>
      <color indexed="8"/>
      <name val="Arial"/>
      <family val="2"/>
    </font>
    <font>
      <i/>
      <sz val="10"/>
      <name val="Arial"/>
      <family val="2"/>
    </font>
    <font>
      <b/>
      <sz val="12"/>
      <name val="CG Omega"/>
      <family val="2"/>
    </font>
    <font>
      <sz val="10"/>
      <name val="CG Omega"/>
      <family val="2"/>
    </font>
    <font>
      <b/>
      <sz val="10"/>
      <name val="CG Omega"/>
      <family val="2"/>
    </font>
    <font>
      <sz val="10"/>
      <color indexed="8"/>
      <name val="CG Omega"/>
      <family val="2"/>
    </font>
    <font>
      <b/>
      <sz val="10"/>
      <color indexed="8"/>
      <name val="CG Omega"/>
      <family val="2"/>
    </font>
    <font>
      <i/>
      <sz val="10"/>
      <color indexed="8"/>
      <name val="CG Omega"/>
      <family val="2"/>
    </font>
    <font>
      <i/>
      <sz val="10"/>
      <name val="CG Omega"/>
      <family val="2"/>
    </font>
    <font>
      <sz val="10"/>
      <name val="Arial"/>
      <family val="2"/>
    </font>
    <font>
      <i/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11"/>
      <name val="Arial,Bold"/>
    </font>
    <font>
      <b/>
      <sz val="12"/>
      <name val="Arial,Bold"/>
    </font>
    <font>
      <b/>
      <sz val="10"/>
      <color indexed="48"/>
      <name val="Arial"/>
      <family val="2"/>
    </font>
    <font>
      <b/>
      <sz val="12"/>
      <color indexed="48"/>
      <name val="Arial"/>
      <family val="2"/>
    </font>
    <font>
      <sz val="10"/>
      <color indexed="10"/>
      <name val="Arial"/>
      <family val="2"/>
    </font>
    <font>
      <sz val="10"/>
      <color indexed="17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i/>
      <sz val="10"/>
      <color rgb="FFFF0000"/>
      <name val="Arial"/>
      <family val="2"/>
    </font>
    <font>
      <sz val="10"/>
      <color rgb="FF7030A0"/>
      <name val="Arial"/>
      <family val="2"/>
    </font>
    <font>
      <b/>
      <sz val="10"/>
      <color indexed="48"/>
      <name val="CG Omeg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name val="MS Sans Serif"/>
      <family val="2"/>
    </font>
    <font>
      <b/>
      <sz val="11"/>
      <name val="Arial"/>
      <family val="2"/>
    </font>
    <font>
      <sz val="10"/>
      <name val="Geneva"/>
    </font>
    <font>
      <sz val="10"/>
      <name val="Helv"/>
      <charset val="204"/>
    </font>
    <font>
      <sz val="10"/>
      <name val="Verdana"/>
      <family val="2"/>
    </font>
    <font>
      <sz val="10"/>
      <name val="Arial 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i/>
      <sz val="14"/>
      <name val="Arial"/>
      <family val="2"/>
    </font>
    <font>
      <b/>
      <sz val="10"/>
      <color indexed="18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b/>
      <sz val="24"/>
      <name val="Arial Narrow"/>
      <family val="2"/>
    </font>
    <font>
      <i/>
      <sz val="9"/>
      <color indexed="18"/>
      <name val="Arial"/>
      <family val="2"/>
    </font>
    <font>
      <b/>
      <sz val="11"/>
      <color indexed="52"/>
      <name val="Calibri"/>
      <family val="2"/>
    </font>
    <font>
      <sz val="11"/>
      <color indexed="9"/>
      <name val="Arial"/>
      <family val="2"/>
    </font>
    <font>
      <b/>
      <sz val="11"/>
      <color indexed="9"/>
      <name val="Calibri"/>
      <family val="2"/>
    </font>
    <font>
      <sz val="11"/>
      <color indexed="56"/>
      <name val="Arial"/>
      <family val="2"/>
    </font>
    <font>
      <b/>
      <sz val="11"/>
      <color indexed="8"/>
      <name val="Calibri"/>
      <family val="2"/>
    </font>
    <font>
      <sz val="12"/>
      <name val="Times New Roman"/>
      <family val="1"/>
    </font>
    <font>
      <sz val="8"/>
      <color indexed="16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0"/>
      <color indexed="8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0"/>
      <name val="Arial Unicode MS"/>
      <family val="2"/>
    </font>
    <font>
      <sz val="10"/>
      <color indexed="12"/>
      <name val="Times New Roman"/>
      <family val="1"/>
    </font>
    <font>
      <b/>
      <sz val="11"/>
      <color indexed="63"/>
      <name val="Calibri"/>
      <family val="2"/>
    </font>
    <font>
      <sz val="10"/>
      <color theme="1"/>
      <name val="Arial"/>
      <family val="2"/>
    </font>
    <font>
      <b/>
      <sz val="12"/>
      <color indexed="10"/>
      <name val="Times New Roman"/>
      <family val="1"/>
    </font>
    <font>
      <b/>
      <sz val="10"/>
      <name val="MS Sans Serif"/>
      <family val="2"/>
    </font>
    <font>
      <b/>
      <sz val="11"/>
      <color indexed="18"/>
      <name val="Arial"/>
      <family val="2"/>
    </font>
    <font>
      <sz val="10"/>
      <color indexed="9"/>
      <name val="Arial"/>
      <family val="2"/>
    </font>
    <font>
      <i/>
      <sz val="11"/>
      <name val="Arial"/>
      <family val="2"/>
    </font>
    <font>
      <b/>
      <sz val="12"/>
      <color indexed="8"/>
      <name val="Arial"/>
      <family val="2"/>
    </font>
    <font>
      <b/>
      <sz val="18"/>
      <color indexed="62"/>
      <name val="Cambria"/>
      <family val="2"/>
    </font>
    <font>
      <sz val="8"/>
      <name val="Trebuchet MS"/>
      <family val="2"/>
    </font>
    <font>
      <sz val="8"/>
      <color indexed="18"/>
      <name val="Trebuchet MS"/>
      <family val="2"/>
    </font>
    <font>
      <sz val="10"/>
      <color indexed="18"/>
      <name val="Trebuchet MS"/>
      <family val="2"/>
    </font>
    <font>
      <sz val="12"/>
      <color indexed="18"/>
      <name val="Trebuchet MS"/>
      <family val="2"/>
    </font>
    <font>
      <b/>
      <sz val="14"/>
      <color indexed="9"/>
      <name val="Trebuchet MS"/>
      <family val="2"/>
    </font>
    <font>
      <b/>
      <sz val="8"/>
      <name val="Trebuchet MS"/>
      <family val="2"/>
    </font>
    <font>
      <b/>
      <sz val="12"/>
      <color indexed="46"/>
      <name val="Trebuchet MS"/>
      <family val="2"/>
    </font>
    <font>
      <b/>
      <sz val="14"/>
      <name val="Trebuchet MS"/>
      <family val="2"/>
    </font>
    <font>
      <sz val="10"/>
      <color indexed="56"/>
      <name val="Arial"/>
      <family val="2"/>
    </font>
    <font>
      <b/>
      <sz val="18"/>
      <color indexed="56"/>
      <name val="Cambria"/>
      <family val="2"/>
    </font>
    <font>
      <sz val="9"/>
      <name val="Times New Roman"/>
      <family val="1"/>
    </font>
    <font>
      <sz val="11"/>
      <color indexed="10"/>
      <name val="Calibri"/>
      <family val="2"/>
    </font>
    <font>
      <sz val="10"/>
      <name val="MS Sans Serif"/>
      <family val="2"/>
    </font>
    <font>
      <sz val="12"/>
      <color indexed="8"/>
      <name val="Arial"/>
      <family val="2"/>
    </font>
    <font>
      <sz val="12"/>
      <color indexed="9"/>
      <name val="Arial"/>
      <family val="2"/>
    </font>
    <font>
      <sz val="12"/>
      <color indexed="20"/>
      <name val="Arial"/>
      <family val="2"/>
    </font>
    <font>
      <b/>
      <sz val="12"/>
      <color indexed="52"/>
      <name val="Arial"/>
      <family val="2"/>
    </font>
    <font>
      <b/>
      <sz val="12"/>
      <color indexed="9"/>
      <name val="Arial"/>
      <family val="2"/>
    </font>
    <font>
      <i/>
      <sz val="12"/>
      <color indexed="23"/>
      <name val="Arial"/>
      <family val="2"/>
    </font>
    <font>
      <sz val="12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2"/>
      <color indexed="62"/>
      <name val="Arial"/>
      <family val="2"/>
    </font>
    <font>
      <sz val="12"/>
      <color indexed="52"/>
      <name val="Arial"/>
      <family val="2"/>
    </font>
    <font>
      <sz val="12"/>
      <color indexed="60"/>
      <name val="Arial"/>
      <family val="2"/>
    </font>
    <font>
      <b/>
      <sz val="12"/>
      <color indexed="63"/>
      <name val="Arial"/>
      <family val="2"/>
    </font>
    <font>
      <sz val="12"/>
      <color indexed="10"/>
      <name val="Arial"/>
      <family val="2"/>
    </font>
    <font>
      <sz val="10"/>
      <name val="CG Omega"/>
    </font>
    <font>
      <b/>
      <sz val="10"/>
      <name val="CG Omega"/>
    </font>
    <font>
      <sz val="11"/>
      <name val="cg omega"/>
      <family val="2"/>
    </font>
    <font>
      <i/>
      <sz val="9"/>
      <color rgb="FF0000FF"/>
      <name val="Arial"/>
      <family val="2"/>
    </font>
    <font>
      <b/>
      <sz val="10"/>
      <color rgb="FFFF0000"/>
      <name val="Arial"/>
      <family val="2"/>
    </font>
    <font>
      <sz val="12"/>
      <name val="CG Omega"/>
    </font>
    <font>
      <b/>
      <sz val="14"/>
      <name val="cg omega"/>
    </font>
    <font>
      <b/>
      <sz val="12"/>
      <name val="CG Omega"/>
    </font>
  </fonts>
  <fills count="8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41"/>
        <bgColor indexed="8"/>
      </patternFill>
    </fill>
    <fill>
      <patternFill patternType="solid">
        <fgColor indexed="45"/>
        <bgColor indexed="40"/>
      </patternFill>
    </fill>
    <fill>
      <patternFill patternType="solid">
        <fgColor indexed="41"/>
        <bgColor indexed="4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44"/>
        <bgColor indexed="41"/>
      </patternFill>
    </fill>
    <fill>
      <patternFill patternType="solid">
        <fgColor indexed="22"/>
      </patternFill>
    </fill>
    <fill>
      <patternFill patternType="solid">
        <fgColor indexed="56"/>
        <bgColor indexed="64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41"/>
        <bgColor indexed="26"/>
      </patternFill>
    </fill>
    <fill>
      <patternFill patternType="solid">
        <fgColor indexed="2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FF"/>
        <bgColor indexed="64"/>
      </patternFill>
    </fill>
  </fills>
  <borders count="1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96">
    <xf numFmtId="0" fontId="0" fillId="0" borderId="0"/>
    <xf numFmtId="0" fontId="22" fillId="0" borderId="0"/>
    <xf numFmtId="0" fontId="4" fillId="0" borderId="0"/>
    <xf numFmtId="0" fontId="23" fillId="0" borderId="0"/>
    <xf numFmtId="0" fontId="4" fillId="0" borderId="0"/>
    <xf numFmtId="0" fontId="4" fillId="0" borderId="0"/>
    <xf numFmtId="9" fontId="36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6" fillId="0" borderId="0"/>
    <xf numFmtId="0" fontId="76" fillId="0" borderId="0"/>
    <xf numFmtId="0" fontId="76" fillId="0" borderId="0"/>
    <xf numFmtId="0" fontId="4" fillId="0" borderId="0"/>
    <xf numFmtId="0" fontId="76" fillId="0" borderId="0"/>
    <xf numFmtId="0" fontId="76" fillId="0" borderId="0"/>
    <xf numFmtId="0" fontId="4" fillId="0" borderId="0"/>
    <xf numFmtId="0" fontId="7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6" fillId="0" borderId="0"/>
    <xf numFmtId="0" fontId="3" fillId="0" borderId="0"/>
    <xf numFmtId="0" fontId="7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6" fillId="0" borderId="0"/>
    <xf numFmtId="0" fontId="76" fillId="0" borderId="0"/>
    <xf numFmtId="0" fontId="4" fillId="0" borderId="0"/>
    <xf numFmtId="0" fontId="76" fillId="0" borderId="0"/>
    <xf numFmtId="0" fontId="76" fillId="0" borderId="0"/>
    <xf numFmtId="0" fontId="7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6" fillId="0" borderId="0"/>
    <xf numFmtId="0" fontId="76" fillId="0" borderId="0"/>
    <xf numFmtId="0" fontId="76" fillId="0" borderId="0"/>
    <xf numFmtId="0" fontId="4" fillId="0" borderId="0"/>
    <xf numFmtId="0" fontId="4" fillId="0" borderId="0"/>
    <xf numFmtId="0" fontId="7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5" fillId="0" borderId="0"/>
    <xf numFmtId="0" fontId="75" fillId="0" borderId="0"/>
    <xf numFmtId="0" fontId="7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5" fillId="0" borderId="0"/>
    <xf numFmtId="0" fontId="7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5" fillId="0" borderId="0"/>
    <xf numFmtId="0" fontId="75" fillId="0" borderId="0"/>
    <xf numFmtId="0" fontId="4" fillId="0" borderId="0"/>
    <xf numFmtId="0" fontId="4" fillId="0" borderId="0"/>
    <xf numFmtId="0" fontId="75" fillId="0" borderId="0"/>
    <xf numFmtId="0" fontId="75" fillId="0" borderId="0"/>
    <xf numFmtId="0" fontId="4" fillId="0" borderId="0"/>
    <xf numFmtId="0" fontId="4" fillId="0" borderId="0"/>
    <xf numFmtId="0" fontId="7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4" fillId="0" borderId="0"/>
    <xf numFmtId="0" fontId="74" fillId="0" borderId="0"/>
    <xf numFmtId="0" fontId="75" fillId="0" borderId="0"/>
    <xf numFmtId="0" fontId="4" fillId="0" borderId="0"/>
    <xf numFmtId="0" fontId="4" fillId="0" borderId="0"/>
    <xf numFmtId="0" fontId="4" fillId="0" borderId="0"/>
    <xf numFmtId="0" fontId="74" fillId="0" borderId="0"/>
    <xf numFmtId="0" fontId="4" fillId="0" borderId="0"/>
    <xf numFmtId="0" fontId="4" fillId="0" borderId="0"/>
    <xf numFmtId="0" fontId="74" fillId="0" borderId="0"/>
    <xf numFmtId="0" fontId="7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8" fillId="44" borderId="0" applyNumberFormat="0" applyBorder="0" applyAlignment="0" applyProtection="0"/>
    <xf numFmtId="0" fontId="2" fillId="20" borderId="0" applyNumberFormat="0" applyBorder="0" applyAlignment="0" applyProtection="0"/>
    <xf numFmtId="0" fontId="78" fillId="45" borderId="0" applyNumberFormat="0" applyBorder="0" applyAlignment="0" applyProtection="0"/>
    <xf numFmtId="0" fontId="2" fillId="24" borderId="0" applyNumberFormat="0" applyBorder="0" applyAlignment="0" applyProtection="0"/>
    <xf numFmtId="0" fontId="78" fillId="46" borderId="0" applyNumberFormat="0" applyBorder="0" applyAlignment="0" applyProtection="0"/>
    <xf numFmtId="0" fontId="2" fillId="28" borderId="0" applyNumberFormat="0" applyBorder="0" applyAlignment="0" applyProtection="0"/>
    <xf numFmtId="0" fontId="78" fillId="47" borderId="0" applyNumberFormat="0" applyBorder="0" applyAlignment="0" applyProtection="0"/>
    <xf numFmtId="0" fontId="2" fillId="32" borderId="0" applyNumberFormat="0" applyBorder="0" applyAlignment="0" applyProtection="0"/>
    <xf numFmtId="0" fontId="78" fillId="48" borderId="0" applyNumberFormat="0" applyBorder="0" applyAlignment="0" applyProtection="0"/>
    <xf numFmtId="0" fontId="2" fillId="36" borderId="0" applyNumberFormat="0" applyBorder="0" applyAlignment="0" applyProtection="0"/>
    <xf numFmtId="0" fontId="78" fillId="49" borderId="0" applyNumberFormat="0" applyBorder="0" applyAlignment="0" applyProtection="0"/>
    <xf numFmtId="0" fontId="2" fillId="40" borderId="0" applyNumberFormat="0" applyBorder="0" applyAlignment="0" applyProtection="0"/>
    <xf numFmtId="0" fontId="78" fillId="50" borderId="0" applyNumberFormat="0" applyBorder="0" applyAlignment="0" applyProtection="0"/>
    <xf numFmtId="0" fontId="2" fillId="21" borderId="0" applyNumberFormat="0" applyBorder="0" applyAlignment="0" applyProtection="0"/>
    <xf numFmtId="0" fontId="78" fillId="51" borderId="0" applyNumberFormat="0" applyBorder="0" applyAlignment="0" applyProtection="0"/>
    <xf numFmtId="0" fontId="2" fillId="25" borderId="0" applyNumberFormat="0" applyBorder="0" applyAlignment="0" applyProtection="0"/>
    <xf numFmtId="0" fontId="78" fillId="52" borderId="0" applyNumberFormat="0" applyBorder="0" applyAlignment="0" applyProtection="0"/>
    <xf numFmtId="0" fontId="2" fillId="29" borderId="0" applyNumberFormat="0" applyBorder="0" applyAlignment="0" applyProtection="0"/>
    <xf numFmtId="0" fontId="78" fillId="47" borderId="0" applyNumberFormat="0" applyBorder="0" applyAlignment="0" applyProtection="0"/>
    <xf numFmtId="0" fontId="2" fillId="33" borderId="0" applyNumberFormat="0" applyBorder="0" applyAlignment="0" applyProtection="0"/>
    <xf numFmtId="0" fontId="78" fillId="50" borderId="0" applyNumberFormat="0" applyBorder="0" applyAlignment="0" applyProtection="0"/>
    <xf numFmtId="0" fontId="2" fillId="37" borderId="0" applyNumberFormat="0" applyBorder="0" applyAlignment="0" applyProtection="0"/>
    <xf numFmtId="0" fontId="78" fillId="53" borderId="0" applyNumberFormat="0" applyBorder="0" applyAlignment="0" applyProtection="0"/>
    <xf numFmtId="0" fontId="2" fillId="41" borderId="0" applyNumberFormat="0" applyBorder="0" applyAlignment="0" applyProtection="0"/>
    <xf numFmtId="0" fontId="79" fillId="54" borderId="0" applyNumberFormat="0" applyBorder="0" applyAlignment="0" applyProtection="0"/>
    <xf numFmtId="0" fontId="70" fillId="22" borderId="0" applyNumberFormat="0" applyBorder="0" applyAlignment="0" applyProtection="0"/>
    <xf numFmtId="0" fontId="79" fillId="51" borderId="0" applyNumberFormat="0" applyBorder="0" applyAlignment="0" applyProtection="0"/>
    <xf numFmtId="0" fontId="70" fillId="26" borderId="0" applyNumberFormat="0" applyBorder="0" applyAlignment="0" applyProtection="0"/>
    <xf numFmtId="0" fontId="79" fillId="52" borderId="0" applyNumberFormat="0" applyBorder="0" applyAlignment="0" applyProtection="0"/>
    <xf numFmtId="0" fontId="70" fillId="30" borderId="0" applyNumberFormat="0" applyBorder="0" applyAlignment="0" applyProtection="0"/>
    <xf numFmtId="0" fontId="79" fillId="55" borderId="0" applyNumberFormat="0" applyBorder="0" applyAlignment="0" applyProtection="0"/>
    <xf numFmtId="0" fontId="70" fillId="34" borderId="0" applyNumberFormat="0" applyBorder="0" applyAlignment="0" applyProtection="0"/>
    <xf numFmtId="0" fontId="79" fillId="56" borderId="0" applyNumberFormat="0" applyBorder="0" applyAlignment="0" applyProtection="0"/>
    <xf numFmtId="0" fontId="70" fillId="38" borderId="0" applyNumberFormat="0" applyBorder="0" applyAlignment="0" applyProtection="0"/>
    <xf numFmtId="0" fontId="79" fillId="57" borderId="0" applyNumberFormat="0" applyBorder="0" applyAlignment="0" applyProtection="0"/>
    <xf numFmtId="0" fontId="70" fillId="42" borderId="0" applyNumberFormat="0" applyBorder="0" applyAlignment="0" applyProtection="0"/>
    <xf numFmtId="0" fontId="78" fillId="58" borderId="0" applyNumberFormat="0" applyBorder="0" applyAlignment="0" applyProtection="0"/>
    <xf numFmtId="0" fontId="78" fillId="58" borderId="0" applyNumberFormat="0" applyBorder="0" applyAlignment="0" applyProtection="0"/>
    <xf numFmtId="0" fontId="79" fillId="59" borderId="0" applyNumberFormat="0" applyBorder="0" applyAlignment="0" applyProtection="0"/>
    <xf numFmtId="0" fontId="79" fillId="60" borderId="0" applyNumberFormat="0" applyBorder="0" applyAlignment="0" applyProtection="0"/>
    <xf numFmtId="0" fontId="70" fillId="19" borderId="0" applyNumberFormat="0" applyBorder="0" applyAlignment="0" applyProtection="0"/>
    <xf numFmtId="0" fontId="78" fillId="61" borderId="0" applyNumberFormat="0" applyBorder="0" applyAlignment="0" applyProtection="0"/>
    <xf numFmtId="0" fontId="78" fillId="62" borderId="0" applyNumberFormat="0" applyBorder="0" applyAlignment="0" applyProtection="0"/>
    <xf numFmtId="0" fontId="79" fillId="63" borderId="0" applyNumberFormat="0" applyBorder="0" applyAlignment="0" applyProtection="0"/>
    <xf numFmtId="0" fontId="79" fillId="64" borderId="0" applyNumberFormat="0" applyBorder="0" applyAlignment="0" applyProtection="0"/>
    <xf numFmtId="0" fontId="70" fillId="23" borderId="0" applyNumberFormat="0" applyBorder="0" applyAlignment="0" applyProtection="0"/>
    <xf numFmtId="0" fontId="78" fillId="61" borderId="0" applyNumberFormat="0" applyBorder="0" applyAlignment="0" applyProtection="0"/>
    <xf numFmtId="0" fontId="78" fillId="65" borderId="0" applyNumberFormat="0" applyBorder="0" applyAlignment="0" applyProtection="0"/>
    <xf numFmtId="0" fontId="79" fillId="62" borderId="0" applyNumberFormat="0" applyBorder="0" applyAlignment="0" applyProtection="0"/>
    <xf numFmtId="0" fontId="79" fillId="66" borderId="0" applyNumberFormat="0" applyBorder="0" applyAlignment="0" applyProtection="0"/>
    <xf numFmtId="0" fontId="70" fillId="27" borderId="0" applyNumberFormat="0" applyBorder="0" applyAlignment="0" applyProtection="0"/>
    <xf numFmtId="0" fontId="78" fillId="58" borderId="0" applyNumberFormat="0" applyBorder="0" applyAlignment="0" applyProtection="0"/>
    <xf numFmtId="0" fontId="78" fillId="62" borderId="0" applyNumberFormat="0" applyBorder="0" applyAlignment="0" applyProtection="0"/>
    <xf numFmtId="0" fontId="79" fillId="62" borderId="0" applyNumberFormat="0" applyBorder="0" applyAlignment="0" applyProtection="0"/>
    <xf numFmtId="0" fontId="79" fillId="55" borderId="0" applyNumberFormat="0" applyBorder="0" applyAlignment="0" applyProtection="0"/>
    <xf numFmtId="0" fontId="70" fillId="31" borderId="0" applyNumberFormat="0" applyBorder="0" applyAlignment="0" applyProtection="0"/>
    <xf numFmtId="0" fontId="78" fillId="67" borderId="0" applyNumberFormat="0" applyBorder="0" applyAlignment="0" applyProtection="0"/>
    <xf numFmtId="0" fontId="78" fillId="58" borderId="0" applyNumberFormat="0" applyBorder="0" applyAlignment="0" applyProtection="0"/>
    <xf numFmtId="0" fontId="79" fillId="59" borderId="0" applyNumberFormat="0" applyBorder="0" applyAlignment="0" applyProtection="0"/>
    <xf numFmtId="0" fontId="79" fillId="56" borderId="0" applyNumberFormat="0" applyBorder="0" applyAlignment="0" applyProtection="0"/>
    <xf numFmtId="0" fontId="70" fillId="35" borderId="0" applyNumberFormat="0" applyBorder="0" applyAlignment="0" applyProtection="0"/>
    <xf numFmtId="0" fontId="78" fillId="61" borderId="0" applyNumberFormat="0" applyBorder="0" applyAlignment="0" applyProtection="0"/>
    <xf numFmtId="0" fontId="78" fillId="68" borderId="0" applyNumberFormat="0" applyBorder="0" applyAlignment="0" applyProtection="0"/>
    <xf numFmtId="0" fontId="79" fillId="68" borderId="0" applyNumberFormat="0" applyBorder="0" applyAlignment="0" applyProtection="0"/>
    <xf numFmtId="0" fontId="79" fillId="69" borderId="0" applyNumberFormat="0" applyBorder="0" applyAlignment="0" applyProtection="0"/>
    <xf numFmtId="0" fontId="70" fillId="39" borderId="0" applyNumberFormat="0" applyBorder="0" applyAlignment="0" applyProtection="0"/>
    <xf numFmtId="0" fontId="80" fillId="45" borderId="0" applyNumberFormat="0" applyBorder="0" applyAlignment="0" applyProtection="0"/>
    <xf numFmtId="0" fontId="60" fillId="13" borderId="0" applyNumberFormat="0" applyBorder="0" applyAlignment="0" applyProtection="0"/>
    <xf numFmtId="169" fontId="48" fillId="0" borderId="0" applyNumberFormat="0" applyFont="0" applyFill="0" applyBorder="0" applyAlignment="0"/>
    <xf numFmtId="169" fontId="48" fillId="0" borderId="0" applyNumberFormat="0" applyFont="0" applyFill="0" applyBorder="0" applyAlignment="0"/>
    <xf numFmtId="169" fontId="48" fillId="0" borderId="0" applyNumberFormat="0" applyFont="0" applyFill="0" applyBorder="0" applyAlignment="0">
      <alignment horizontal="center"/>
    </xf>
    <xf numFmtId="169" fontId="48" fillId="0" borderId="0" applyNumberFormat="0" applyFont="0" applyFill="0" applyBorder="0" applyAlignment="0">
      <alignment horizontal="center"/>
    </xf>
    <xf numFmtId="0" fontId="4" fillId="0" borderId="0"/>
    <xf numFmtId="38" fontId="4" fillId="43" borderId="0" applyNumberFormat="0" applyFont="0" applyFill="0" applyBorder="0" applyAlignment="0">
      <alignment horizontal="right"/>
    </xf>
    <xf numFmtId="38" fontId="4" fillId="43" borderId="0" applyNumberFormat="0" applyFont="0" applyFill="0" applyBorder="0" applyAlignment="0">
      <alignment horizontal="right"/>
    </xf>
    <xf numFmtId="0" fontId="4" fillId="0" borderId="0"/>
    <xf numFmtId="0" fontId="81" fillId="0" borderId="0" applyNumberFormat="0" applyFont="0" applyFill="0" applyBorder="0" applyAlignment="0">
      <alignment vertical="top"/>
    </xf>
    <xf numFmtId="0" fontId="82" fillId="70" borderId="0" applyNumberFormat="0" applyFont="0" applyFill="0" applyBorder="0" applyAlignment="0">
      <alignment horizontal="center" vertical="top"/>
    </xf>
    <xf numFmtId="169" fontId="21" fillId="0" borderId="72" applyNumberFormat="0" applyFont="0" applyFill="0" applyBorder="0" applyAlignment="0"/>
    <xf numFmtId="0" fontId="4" fillId="0" borderId="0"/>
    <xf numFmtId="0" fontId="81" fillId="0" borderId="0" applyNumberFormat="0" applyFont="0" applyFill="0" applyBorder="0" applyAlignment="0">
      <alignment wrapText="1"/>
    </xf>
    <xf numFmtId="0" fontId="26" fillId="0" borderId="0" applyNumberFormat="0" applyFont="0" applyFill="0" applyBorder="0" applyAlignment="0">
      <alignment horizontal="left" vertical="top" wrapText="1"/>
    </xf>
    <xf numFmtId="169" fontId="73" fillId="0" borderId="0" applyNumberFormat="0" applyFont="0" applyFill="0" applyBorder="0" applyAlignment="0"/>
    <xf numFmtId="0" fontId="4" fillId="0" borderId="0"/>
    <xf numFmtId="0" fontId="83" fillId="0" borderId="0" applyNumberFormat="0" applyFont="0" applyFill="0" applyBorder="0" applyAlignment="0">
      <alignment vertical="top" wrapText="1"/>
    </xf>
    <xf numFmtId="0" fontId="21" fillId="0" borderId="0" applyNumberFormat="0" applyFont="0" applyFill="0" applyBorder="0" applyAlignment="0">
      <alignment horizontal="left" vertical="top" wrapText="1"/>
    </xf>
    <xf numFmtId="169" fontId="4" fillId="0" borderId="0" applyNumberFormat="0" applyFont="0" applyFill="0" applyBorder="0" applyAlignment="0"/>
    <xf numFmtId="0" fontId="4" fillId="0" borderId="0"/>
    <xf numFmtId="0" fontId="84" fillId="0" borderId="0" applyNumberFormat="0" applyFont="0" applyFill="0" applyBorder="0" applyAlignment="0">
      <alignment vertical="center" wrapText="1"/>
    </xf>
    <xf numFmtId="0" fontId="12" fillId="0" borderId="0" applyNumberFormat="0" applyFont="0" applyFill="0" applyBorder="0" applyAlignment="0">
      <alignment horizontal="left" vertical="center" wrapText="1"/>
    </xf>
    <xf numFmtId="0" fontId="12" fillId="0" borderId="0" applyNumberFormat="0" applyFont="0" applyFill="0" applyBorder="0" applyAlignment="0">
      <alignment horizontal="left" vertical="center" wrapText="1"/>
    </xf>
    <xf numFmtId="169" fontId="15" fillId="0" borderId="0" applyNumberFormat="0" applyFont="0" applyFill="0" applyBorder="0" applyAlignment="0"/>
    <xf numFmtId="0" fontId="4" fillId="0" borderId="0"/>
    <xf numFmtId="0" fontId="28" fillId="0" borderId="0" applyNumberFormat="0" applyFont="0" applyFill="0" applyBorder="0" applyAlignment="0">
      <alignment horizontal="center" vertical="center" wrapText="1"/>
    </xf>
    <xf numFmtId="0" fontId="28" fillId="0" borderId="0" applyNumberFormat="0" applyFont="0" applyFill="0" applyBorder="0" applyAlignment="0">
      <alignment horizontal="center" vertical="center" wrapText="1"/>
    </xf>
    <xf numFmtId="0" fontId="4" fillId="0" borderId="0" applyNumberFormat="0" applyFont="0" applyFill="0" applyBorder="0" applyAlignment="0">
      <alignment horizontal="center" vertical="center" wrapText="1"/>
    </xf>
    <xf numFmtId="0" fontId="4" fillId="0" borderId="0" applyNumberFormat="0" applyFont="0" applyFill="0" applyBorder="0" applyAlignment="0">
      <alignment horizontal="center" vertical="center" wrapText="1"/>
    </xf>
    <xf numFmtId="169" fontId="85" fillId="0" borderId="0" applyNumberFormat="0" applyFont="0" applyFill="0" applyBorder="0" applyAlignment="0"/>
    <xf numFmtId="0" fontId="4" fillId="0" borderId="0"/>
    <xf numFmtId="0" fontId="86" fillId="0" borderId="0" applyNumberFormat="0" applyFont="0" applyFill="0" applyBorder="0" applyAlignment="0">
      <alignment horizontal="center" vertical="center" wrapText="1"/>
    </xf>
    <xf numFmtId="0" fontId="87" fillId="0" borderId="0" applyNumberFormat="0" applyFont="0" applyFill="0" applyBorder="0" applyAlignment="0">
      <alignment horizontal="center" vertical="center" wrapText="1"/>
    </xf>
    <xf numFmtId="169" fontId="88" fillId="0" borderId="0" applyNumberFormat="0" applyFont="0" applyFill="0" applyBorder="0" applyAlignment="0"/>
    <xf numFmtId="0" fontId="89" fillId="0" borderId="0" applyNumberFormat="0" applyFont="0" applyFill="0" applyBorder="0" applyAlignment="0">
      <alignment horizontal="center"/>
    </xf>
    <xf numFmtId="0" fontId="90" fillId="0" borderId="0" applyNumberFormat="0" applyFont="0" applyFill="0" applyBorder="0" applyAlignment="0">
      <alignment horizontal="center" wrapText="1"/>
    </xf>
    <xf numFmtId="0" fontId="85" fillId="0" borderId="0" applyNumberFormat="0" applyFont="0" applyFill="0" applyBorder="0" applyAlignment="0">
      <alignment horizontal="center" wrapText="1"/>
    </xf>
    <xf numFmtId="0" fontId="91" fillId="71" borderId="109" applyNumberFormat="0" applyAlignment="0" applyProtection="0"/>
    <xf numFmtId="0" fontId="64" fillId="16" borderId="103" applyNumberFormat="0" applyAlignment="0" applyProtection="0"/>
    <xf numFmtId="168" fontId="92" fillId="72" borderId="110" applyNumberFormat="0">
      <alignment wrapText="1"/>
      <protection locked="0"/>
    </xf>
    <xf numFmtId="0" fontId="93" fillId="73" borderId="111" applyNumberFormat="0" applyAlignment="0" applyProtection="0"/>
    <xf numFmtId="0" fontId="66" fillId="17" borderId="106" applyNumberFormat="0" applyAlignment="0" applyProtection="0"/>
    <xf numFmtId="43" fontId="7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7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168" fontId="94" fillId="43" borderId="110" applyNumberFormat="0">
      <protection locked="0"/>
    </xf>
    <xf numFmtId="0" fontId="95" fillId="74" borderId="0" applyNumberFormat="0" applyBorder="0" applyAlignment="0" applyProtection="0"/>
    <xf numFmtId="0" fontId="95" fillId="75" borderId="0" applyNumberFormat="0" applyBorder="0" applyAlignment="0" applyProtection="0"/>
    <xf numFmtId="0" fontId="95" fillId="76" borderId="0" applyNumberFormat="0" applyBorder="0" applyAlignment="0" applyProtection="0"/>
    <xf numFmtId="170" fontId="96" fillId="0" borderId="0">
      <alignment horizontal="center"/>
    </xf>
    <xf numFmtId="0" fontId="97" fillId="77" borderId="1">
      <protection locked="0"/>
    </xf>
    <xf numFmtId="171" fontId="4" fillId="0" borderId="0" applyFont="0" applyFill="0" applyBorder="0" applyAlignment="0" applyProtection="0"/>
    <xf numFmtId="0" fontId="9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99" fillId="46" borderId="0" applyNumberFormat="0" applyBorder="0" applyAlignment="0" applyProtection="0"/>
    <xf numFmtId="0" fontId="59" fillId="12" borderId="0" applyNumberFormat="0" applyBorder="0" applyAlignment="0" applyProtection="0"/>
    <xf numFmtId="0" fontId="100" fillId="0" borderId="112" applyNumberFormat="0" applyFill="0" applyAlignment="0" applyProtection="0"/>
    <xf numFmtId="0" fontId="56" fillId="0" borderId="100" applyNumberFormat="0" applyFill="0" applyAlignment="0" applyProtection="0"/>
    <xf numFmtId="0" fontId="101" fillId="0" borderId="113" applyNumberFormat="0" applyFill="0" applyAlignment="0" applyProtection="0"/>
    <xf numFmtId="0" fontId="57" fillId="0" borderId="101" applyNumberFormat="0" applyFill="0" applyAlignment="0" applyProtection="0"/>
    <xf numFmtId="0" fontId="102" fillId="0" borderId="114" applyNumberFormat="0" applyFill="0" applyAlignment="0" applyProtection="0"/>
    <xf numFmtId="0" fontId="58" fillId="0" borderId="102" applyNumberFormat="0" applyFill="0" applyAlignment="0" applyProtection="0"/>
    <xf numFmtId="0" fontId="102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03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104" fillId="49" borderId="109" applyNumberFormat="0" applyAlignment="0" applyProtection="0"/>
    <xf numFmtId="0" fontId="62" fillId="15" borderId="103" applyNumberFormat="0" applyAlignment="0" applyProtection="0"/>
    <xf numFmtId="172" fontId="105" fillId="0" borderId="0"/>
    <xf numFmtId="38" fontId="106" fillId="0" borderId="0"/>
    <xf numFmtId="38" fontId="107" fillId="0" borderId="0"/>
    <xf numFmtId="38" fontId="108" fillId="0" borderId="0"/>
    <xf numFmtId="38" fontId="109" fillId="0" borderId="0"/>
    <xf numFmtId="0" fontId="5" fillId="0" borderId="0"/>
    <xf numFmtId="0" fontId="5" fillId="0" borderId="0"/>
    <xf numFmtId="0" fontId="110" fillId="0" borderId="115" applyNumberFormat="0" applyFill="0" applyAlignment="0" applyProtection="0"/>
    <xf numFmtId="0" fontId="65" fillId="0" borderId="105" applyNumberFormat="0" applyFill="0" applyAlignment="0" applyProtection="0"/>
    <xf numFmtId="173" fontId="4" fillId="0" borderId="0" applyFont="0"/>
    <xf numFmtId="0" fontId="111" fillId="78" borderId="0" applyNumberFormat="0" applyBorder="0" applyAlignment="0" applyProtection="0"/>
    <xf numFmtId="0" fontId="61" fillId="14" borderId="0" applyNumberFormat="0" applyBorder="0" applyAlignment="0" applyProtection="0"/>
    <xf numFmtId="174" fontId="1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168" fontId="4" fillId="0" borderId="0"/>
    <xf numFmtId="0" fontId="113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78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78" fillId="0" borderId="0"/>
    <xf numFmtId="0" fontId="113" fillId="0" borderId="0"/>
    <xf numFmtId="0" fontId="113" fillId="0" borderId="0"/>
    <xf numFmtId="0" fontId="113" fillId="0" borderId="0"/>
    <xf numFmtId="0" fontId="78" fillId="0" borderId="0"/>
    <xf numFmtId="0" fontId="4" fillId="0" borderId="0"/>
    <xf numFmtId="0" fontId="4" fillId="0" borderId="0"/>
    <xf numFmtId="0" fontId="77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8" fillId="0" borderId="0"/>
    <xf numFmtId="0" fontId="4" fillId="0" borderId="0"/>
    <xf numFmtId="0" fontId="113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0" fontId="78" fillId="79" borderId="116" applyNumberFormat="0" applyFont="0" applyAlignment="0" applyProtection="0"/>
    <xf numFmtId="0" fontId="78" fillId="79" borderId="116" applyNumberFormat="0" applyFont="0" applyAlignment="0" applyProtection="0"/>
    <xf numFmtId="0" fontId="2" fillId="18" borderId="107" applyNumberFormat="0" applyFont="0" applyAlignment="0" applyProtection="0"/>
    <xf numFmtId="176" fontId="114" fillId="0" borderId="0"/>
    <xf numFmtId="0" fontId="115" fillId="71" borderId="117" applyNumberFormat="0" applyAlignment="0" applyProtection="0"/>
    <xf numFmtId="0" fontId="63" fillId="16" borderId="104" applyNumberFormat="0" applyAlignment="0" applyProtection="0"/>
    <xf numFmtId="0" fontId="2" fillId="0" borderId="0"/>
    <xf numFmtId="9" fontId="17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16" fillId="0" borderId="0" applyFont="0" applyFill="0" applyBorder="0" applyAlignment="0" applyProtection="0"/>
    <xf numFmtId="0" fontId="117" fillId="0" borderId="0">
      <alignment horizontal="left"/>
    </xf>
    <xf numFmtId="168" fontId="94" fillId="6" borderId="0" applyNumberFormat="0"/>
    <xf numFmtId="0" fontId="72" fillId="0" borderId="0" applyNumberFormat="0" applyFont="0" applyFill="0" applyBorder="0" applyAlignment="0" applyProtection="0">
      <alignment horizontal="left"/>
    </xf>
    <xf numFmtId="15" fontId="72" fillId="0" borderId="0" applyFont="0" applyFill="0" applyBorder="0" applyAlignment="0" applyProtection="0"/>
    <xf numFmtId="4" fontId="72" fillId="0" borderId="0" applyFont="0" applyFill="0" applyBorder="0" applyAlignment="0" applyProtection="0"/>
    <xf numFmtId="0" fontId="118" fillId="0" borderId="26">
      <alignment horizontal="center"/>
    </xf>
    <xf numFmtId="3" fontId="72" fillId="0" borderId="0" applyFont="0" applyFill="0" applyBorder="0" applyAlignment="0" applyProtection="0"/>
    <xf numFmtId="0" fontId="72" fillId="80" borderId="0" applyNumberFormat="0" applyFont="0" applyBorder="0" applyAlignment="0" applyProtection="0"/>
    <xf numFmtId="177" fontId="87" fillId="0" borderId="0" applyNumberFormat="0">
      <alignment horizontal="right"/>
    </xf>
    <xf numFmtId="38" fontId="87" fillId="0" borderId="0" applyNumberFormat="0">
      <alignment horizontal="right"/>
    </xf>
    <xf numFmtId="177" fontId="87" fillId="0" borderId="0" applyNumberFormat="0">
      <alignment horizontal="right"/>
    </xf>
    <xf numFmtId="0" fontId="82" fillId="0" borderId="0">
      <alignment horizontal="left" indent="1"/>
    </xf>
    <xf numFmtId="177" fontId="119" fillId="0" borderId="0" applyNumberFormat="0">
      <alignment horizontal="right"/>
    </xf>
    <xf numFmtId="177" fontId="73" fillId="0" borderId="0" applyNumberFormat="0" applyAlignment="0">
      <alignment horizontal="left"/>
    </xf>
    <xf numFmtId="0" fontId="120" fillId="0" borderId="0"/>
    <xf numFmtId="0" fontId="119" fillId="0" borderId="0">
      <alignment horizontal="left"/>
    </xf>
    <xf numFmtId="177" fontId="82" fillId="5" borderId="0" applyNumberFormat="0">
      <alignment horizontal="right"/>
    </xf>
    <xf numFmtId="177" fontId="82" fillId="81" borderId="0" applyNumberFormat="0" applyBorder="0" applyAlignment="0"/>
    <xf numFmtId="0" fontId="120" fillId="0" borderId="0">
      <alignment horizontal="left"/>
    </xf>
    <xf numFmtId="0" fontId="47" fillId="5" borderId="0">
      <alignment horizontal="left" indent="1"/>
    </xf>
    <xf numFmtId="38" fontId="4" fillId="0" borderId="0" applyNumberFormat="0" applyFont="0" applyFill="0" applyBorder="0" applyAlignment="0">
      <alignment horizontal="right"/>
    </xf>
    <xf numFmtId="38" fontId="4" fillId="0" borderId="0" applyNumberFormat="0" applyFont="0" applyFill="0" applyBorder="0" applyAlignment="0">
      <alignment horizontal="right"/>
    </xf>
    <xf numFmtId="0" fontId="4" fillId="0" borderId="0" applyNumberFormat="0" applyFont="0" applyFill="0" applyBorder="0" applyAlignment="0"/>
    <xf numFmtId="0" fontId="4" fillId="0" borderId="0" applyNumberFormat="0" applyFont="0" applyFill="0" applyBorder="0" applyAlignment="0"/>
    <xf numFmtId="0" fontId="83" fillId="0" borderId="0" applyNumberFormat="0" applyFont="0" applyFill="0" applyBorder="0" applyAlignment="0">
      <alignment horizontal="left" indent="2"/>
    </xf>
    <xf numFmtId="0" fontId="47" fillId="0" borderId="0" applyNumberFormat="0" applyFont="0" applyFill="0" applyBorder="0" applyAlignment="0">
      <alignment horizontal="left" indent="2"/>
    </xf>
    <xf numFmtId="38" fontId="4" fillId="0" borderId="0" applyNumberFormat="0" applyFont="0" applyFill="0" applyBorder="0" applyAlignment="0"/>
    <xf numFmtId="38" fontId="4" fillId="0" borderId="0" applyNumberFormat="0" applyFont="0" applyFill="0" applyBorder="0" applyAlignment="0"/>
    <xf numFmtId="0" fontId="4" fillId="0" borderId="0" applyNumberFormat="0" applyFont="0" applyFill="0" applyBorder="0" applyAlignment="0"/>
    <xf numFmtId="0" fontId="4" fillId="0" borderId="0" applyNumberFormat="0" applyFont="0" applyFill="0" applyBorder="0" applyAlignment="0"/>
    <xf numFmtId="0" fontId="121" fillId="0" borderId="0" applyNumberFormat="0" applyFont="0" applyFill="0" applyBorder="0" applyAlignment="0">
      <alignment horizontal="left" indent="3"/>
    </xf>
    <xf numFmtId="0" fontId="82" fillId="0" borderId="0" applyNumberFormat="0" applyFont="0" applyFill="0" applyBorder="0" applyAlignment="0">
      <alignment horizontal="left" indent="3"/>
    </xf>
    <xf numFmtId="178" fontId="15" fillId="0" borderId="0" applyNumberFormat="0" applyFont="0" applyFill="0" applyBorder="0" applyAlignment="0"/>
    <xf numFmtId="0" fontId="4" fillId="0" borderId="0" applyNumberFormat="0" applyFont="0" applyFill="0" applyBorder="0" applyAlignment="0"/>
    <xf numFmtId="0" fontId="28" fillId="0" borderId="0" applyNumberFormat="0" applyFont="0" applyFill="0" applyBorder="0" applyAlignment="0">
      <alignment horizontal="left" indent="4"/>
    </xf>
    <xf numFmtId="0" fontId="28" fillId="0" borderId="0" applyNumberFormat="0" applyFont="0" applyFill="0" applyBorder="0" applyAlignment="0">
      <alignment horizontal="left" indent="4"/>
    </xf>
    <xf numFmtId="0" fontId="4" fillId="0" borderId="0" applyNumberFormat="0" applyFont="0" applyFill="0" applyBorder="0" applyAlignment="0">
      <alignment horizontal="left" indent="4"/>
    </xf>
    <xf numFmtId="0" fontId="4" fillId="0" borderId="0" applyNumberFormat="0" applyFont="0" applyFill="0" applyBorder="0" applyAlignment="0">
      <alignment horizontal="left" indent="4"/>
    </xf>
    <xf numFmtId="178" fontId="85" fillId="0" borderId="0" applyNumberFormat="0" applyFont="0" applyFill="0" applyBorder="0" applyAlignment="0"/>
    <xf numFmtId="0" fontId="4" fillId="0" borderId="0" applyNumberFormat="0" applyFont="0" applyFill="0" applyBorder="0" applyAlignment="0"/>
    <xf numFmtId="0" fontId="86" fillId="0" borderId="0" applyNumberFormat="0" applyFont="0" applyFill="0" applyBorder="0" applyAlignment="0">
      <alignment horizontal="left" indent="5"/>
    </xf>
    <xf numFmtId="0" fontId="87" fillId="0" borderId="0" applyNumberFormat="0" applyFont="0" applyFill="0" applyBorder="0" applyAlignment="0">
      <alignment horizontal="left" indent="5"/>
    </xf>
    <xf numFmtId="178" fontId="88" fillId="0" borderId="0" applyNumberFormat="0" applyFont="0" applyFill="0" applyBorder="0" applyAlignment="0"/>
    <xf numFmtId="0" fontId="4" fillId="0" borderId="0" applyNumberFormat="0" applyFont="0" applyFill="0" applyBorder="0" applyAlignment="0"/>
    <xf numFmtId="0" fontId="4" fillId="0" borderId="0"/>
    <xf numFmtId="0" fontId="85" fillId="0" borderId="0" applyNumberFormat="0" applyFont="0" applyFill="0" applyBorder="0" applyAlignment="0">
      <alignment horizontal="left" indent="6"/>
    </xf>
    <xf numFmtId="4" fontId="122" fillId="43" borderId="118" applyNumberFormat="0" applyProtection="0">
      <alignment horizontal="left" vertical="center" indent="1"/>
    </xf>
    <xf numFmtId="0" fontId="123" fillId="0" borderId="0" applyNumberFormat="0" applyFill="0" applyBorder="0" applyAlignment="0" applyProtection="0"/>
    <xf numFmtId="0" fontId="124" fillId="6" borderId="119" applyNumberFormat="0" applyAlignment="0"/>
    <xf numFmtId="0" fontId="124" fillId="82" borderId="0" applyNumberFormat="0" applyFont="0"/>
    <xf numFmtId="0" fontId="125" fillId="83" borderId="120" applyNumberFormat="0"/>
    <xf numFmtId="0" fontId="126" fillId="83" borderId="121" applyNumberFormat="0" applyAlignment="0"/>
    <xf numFmtId="0" fontId="127" fillId="82" borderId="0"/>
    <xf numFmtId="0" fontId="4" fillId="84" borderId="0"/>
    <xf numFmtId="179" fontId="124" fillId="6" borderId="119" applyFont="0" applyFill="0" applyProtection="0"/>
    <xf numFmtId="0" fontId="128" fillId="85" borderId="0"/>
    <xf numFmtId="179" fontId="129" fillId="6" borderId="71" applyAlignment="0"/>
    <xf numFmtId="0" fontId="130" fillId="86" borderId="0"/>
    <xf numFmtId="0" fontId="131" fillId="0" borderId="74" applyNumberFormat="0" applyFont="0" applyFill="0" applyBorder="0" applyAlignment="0"/>
    <xf numFmtId="0" fontId="132" fillId="0" borderId="0">
      <alignment horizontal="justify" wrapText="1"/>
    </xf>
    <xf numFmtId="0" fontId="75" fillId="0" borderId="0"/>
    <xf numFmtId="0" fontId="133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95" fillId="0" borderId="122" applyNumberFormat="0" applyFill="0" applyAlignment="0" applyProtection="0"/>
    <xf numFmtId="0" fontId="69" fillId="0" borderId="108" applyNumberFormat="0" applyFill="0" applyAlignment="0" applyProtection="0"/>
    <xf numFmtId="0" fontId="134" fillId="77" borderId="1">
      <protection locked="0"/>
    </xf>
    <xf numFmtId="0" fontId="135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181" fontId="72" fillId="0" borderId="0" applyFont="0" applyFill="0" applyBorder="0" applyAlignment="0" applyProtection="0"/>
    <xf numFmtId="0" fontId="151" fillId="0" borderId="0" applyNumberFormat="0" applyFill="0" applyBorder="0" applyAlignment="0" applyProtection="0"/>
    <xf numFmtId="0" fontId="122" fillId="0" borderId="122" applyNumberFormat="0" applyFill="0" applyAlignment="0" applyProtection="0"/>
    <xf numFmtId="0" fontId="136" fillId="0" borderId="0"/>
    <xf numFmtId="9" fontId="72" fillId="0" borderId="0" applyFont="0" applyFill="0" applyBorder="0" applyAlignment="0" applyProtection="0"/>
    <xf numFmtId="0" fontId="150" fillId="71" borderId="117" applyNumberFormat="0" applyAlignment="0" applyProtection="0"/>
    <xf numFmtId="0" fontId="4" fillId="79" borderId="116" applyNumberFormat="0" applyFont="0" applyAlignment="0" applyProtection="0"/>
    <xf numFmtId="0" fontId="138" fillId="66" borderId="0" applyNumberFormat="0" applyBorder="0" applyAlignment="0" applyProtection="0"/>
    <xf numFmtId="0" fontId="138" fillId="55" borderId="0" applyNumberFormat="0" applyBorder="0" applyAlignment="0" applyProtection="0"/>
    <xf numFmtId="0" fontId="138" fillId="56" borderId="0" applyNumberFormat="0" applyBorder="0" applyAlignment="0" applyProtection="0"/>
    <xf numFmtId="0" fontId="149" fillId="78" borderId="0" applyNumberFormat="0" applyBorder="0" applyAlignment="0" applyProtection="0"/>
    <xf numFmtId="0" fontId="148" fillId="0" borderId="115" applyNumberFormat="0" applyFill="0" applyAlignment="0" applyProtection="0"/>
    <xf numFmtId="0" fontId="147" fillId="49" borderId="109" applyNumberFormat="0" applyAlignment="0" applyProtection="0"/>
    <xf numFmtId="0" fontId="146" fillId="0" borderId="0" applyNumberFormat="0" applyFill="0" applyBorder="0" applyAlignment="0" applyProtection="0"/>
    <xf numFmtId="0" fontId="146" fillId="0" borderId="114" applyNumberFormat="0" applyFill="0" applyAlignment="0" applyProtection="0"/>
    <xf numFmtId="0" fontId="145" fillId="0" borderId="113" applyNumberFormat="0" applyFill="0" applyAlignment="0" applyProtection="0"/>
    <xf numFmtId="0" fontId="144" fillId="0" borderId="112" applyNumberFormat="0" applyFill="0" applyAlignment="0" applyProtection="0"/>
    <xf numFmtId="0" fontId="143" fillId="46" borderId="0" applyNumberFormat="0" applyBorder="0" applyAlignment="0" applyProtection="0"/>
    <xf numFmtId="0" fontId="142" fillId="0" borderId="0" applyNumberFormat="0" applyFill="0" applyBorder="0" applyAlignment="0" applyProtection="0"/>
    <xf numFmtId="0" fontId="141" fillId="73" borderId="111" applyNumberFormat="0" applyAlignment="0" applyProtection="0"/>
    <xf numFmtId="0" fontId="140" fillId="71" borderId="109" applyNumberFormat="0" applyAlignment="0" applyProtection="0"/>
    <xf numFmtId="0" fontId="139" fillId="45" borderId="0" applyNumberFormat="0" applyBorder="0" applyAlignment="0" applyProtection="0"/>
    <xf numFmtId="0" fontId="138" fillId="69" borderId="0" applyNumberFormat="0" applyBorder="0" applyAlignment="0" applyProtection="0"/>
    <xf numFmtId="0" fontId="138" fillId="56" borderId="0" applyNumberFormat="0" applyBorder="0" applyAlignment="0" applyProtection="0"/>
    <xf numFmtId="0" fontId="138" fillId="55" borderId="0" applyNumberFormat="0" applyBorder="0" applyAlignment="0" applyProtection="0"/>
    <xf numFmtId="0" fontId="138" fillId="66" borderId="0" applyNumberFormat="0" applyBorder="0" applyAlignment="0" applyProtection="0"/>
    <xf numFmtId="0" fontId="138" fillId="64" borderId="0" applyNumberFormat="0" applyBorder="0" applyAlignment="0" applyProtection="0"/>
    <xf numFmtId="0" fontId="138" fillId="60" borderId="0" applyNumberFormat="0" applyBorder="0" applyAlignment="0" applyProtection="0"/>
    <xf numFmtId="0" fontId="138" fillId="57" borderId="0" applyNumberFormat="0" applyBorder="0" applyAlignment="0" applyProtection="0"/>
    <xf numFmtId="0" fontId="138" fillId="56" borderId="0" applyNumberFormat="0" applyBorder="0" applyAlignment="0" applyProtection="0"/>
    <xf numFmtId="0" fontId="138" fillId="55" borderId="0" applyNumberFormat="0" applyBorder="0" applyAlignment="0" applyProtection="0"/>
    <xf numFmtId="0" fontId="138" fillId="52" borderId="0" applyNumberFormat="0" applyBorder="0" applyAlignment="0" applyProtection="0"/>
    <xf numFmtId="0" fontId="138" fillId="51" borderId="0" applyNumberFormat="0" applyBorder="0" applyAlignment="0" applyProtection="0"/>
    <xf numFmtId="0" fontId="138" fillId="54" borderId="0" applyNumberFormat="0" applyBorder="0" applyAlignment="0" applyProtection="0"/>
    <xf numFmtId="0" fontId="137" fillId="53" borderId="0" applyNumberFormat="0" applyBorder="0" applyAlignment="0" applyProtection="0"/>
    <xf numFmtId="0" fontId="137" fillId="50" borderId="0" applyNumberFormat="0" applyBorder="0" applyAlignment="0" applyProtection="0"/>
    <xf numFmtId="0" fontId="137" fillId="47" borderId="0" applyNumberFormat="0" applyBorder="0" applyAlignment="0" applyProtection="0"/>
    <xf numFmtId="0" fontId="137" fillId="52" borderId="0" applyNumberFormat="0" applyBorder="0" applyAlignment="0" applyProtection="0"/>
    <xf numFmtId="0" fontId="137" fillId="51" borderId="0" applyNumberFormat="0" applyBorder="0" applyAlignment="0" applyProtection="0"/>
    <xf numFmtId="0" fontId="136" fillId="0" borderId="0"/>
    <xf numFmtId="0" fontId="2" fillId="0" borderId="0"/>
    <xf numFmtId="0" fontId="2" fillId="0" borderId="0"/>
    <xf numFmtId="0" fontId="137" fillId="50" borderId="0" applyNumberFormat="0" applyBorder="0" applyAlignment="0" applyProtection="0"/>
    <xf numFmtId="0" fontId="78" fillId="0" borderId="0"/>
    <xf numFmtId="0" fontId="2" fillId="0" borderId="0"/>
    <xf numFmtId="0" fontId="137" fillId="46" borderId="0" applyNumberFormat="0" applyBorder="0" applyAlignment="0" applyProtection="0"/>
    <xf numFmtId="0" fontId="137" fillId="48" borderId="0" applyNumberFormat="0" applyBorder="0" applyAlignment="0" applyProtection="0"/>
    <xf numFmtId="0" fontId="4" fillId="0" borderId="0"/>
    <xf numFmtId="0" fontId="137" fillId="47" borderId="0" applyNumberFormat="0" applyBorder="0" applyAlignment="0" applyProtection="0"/>
    <xf numFmtId="0" fontId="137" fillId="45" borderId="0" applyNumberFormat="0" applyBorder="0" applyAlignment="0" applyProtection="0"/>
    <xf numFmtId="0" fontId="137" fillId="44" borderId="0" applyNumberFormat="0" applyBorder="0" applyAlignment="0" applyProtection="0"/>
    <xf numFmtId="0" fontId="137" fillId="49" borderId="0" applyNumberFormat="0" applyBorder="0" applyAlignment="0" applyProtection="0"/>
    <xf numFmtId="0" fontId="2" fillId="0" borderId="0"/>
    <xf numFmtId="0" fontId="138" fillId="60" borderId="0" applyNumberFormat="0" applyBorder="0" applyAlignment="0" applyProtection="0"/>
    <xf numFmtId="0" fontId="138" fillId="64" borderId="0" applyNumberFormat="0" applyBorder="0" applyAlignment="0" applyProtection="0"/>
    <xf numFmtId="0" fontId="138" fillId="66" borderId="0" applyNumberFormat="0" applyBorder="0" applyAlignment="0" applyProtection="0"/>
    <xf numFmtId="0" fontId="138" fillId="55" borderId="0" applyNumberFormat="0" applyBorder="0" applyAlignment="0" applyProtection="0"/>
    <xf numFmtId="0" fontId="138" fillId="56" borderId="0" applyNumberFormat="0" applyBorder="0" applyAlignment="0" applyProtection="0"/>
    <xf numFmtId="0" fontId="138" fillId="60" borderId="0" applyNumberFormat="0" applyBorder="0" applyAlignment="0" applyProtection="0"/>
    <xf numFmtId="0" fontId="138" fillId="64" borderId="0" applyNumberFormat="0" applyBorder="0" applyAlignment="0" applyProtection="0"/>
    <xf numFmtId="0" fontId="138" fillId="66" borderId="0" applyNumberFormat="0" applyBorder="0" applyAlignment="0" applyProtection="0"/>
    <xf numFmtId="0" fontId="138" fillId="55" borderId="0" applyNumberFormat="0" applyBorder="0" applyAlignment="0" applyProtection="0"/>
    <xf numFmtId="0" fontId="138" fillId="56" borderId="0" applyNumberFormat="0" applyBorder="0" applyAlignment="0" applyProtection="0"/>
    <xf numFmtId="0" fontId="138" fillId="60" borderId="0" applyNumberFormat="0" applyBorder="0" applyAlignment="0" applyProtection="0"/>
    <xf numFmtId="0" fontId="138" fillId="64" borderId="0" applyNumberFormat="0" applyBorder="0" applyAlignment="0" applyProtection="0"/>
    <xf numFmtId="0" fontId="138" fillId="66" borderId="0" applyNumberFormat="0" applyBorder="0" applyAlignment="0" applyProtection="0"/>
    <xf numFmtId="0" fontId="138" fillId="55" borderId="0" applyNumberFormat="0" applyBorder="0" applyAlignment="0" applyProtection="0"/>
    <xf numFmtId="0" fontId="138" fillId="56" borderId="0" applyNumberFormat="0" applyBorder="0" applyAlignment="0" applyProtection="0"/>
    <xf numFmtId="0" fontId="138" fillId="60" borderId="0" applyNumberFormat="0" applyBorder="0" applyAlignment="0" applyProtection="0"/>
    <xf numFmtId="0" fontId="138" fillId="64" borderId="0" applyNumberFormat="0" applyBorder="0" applyAlignment="0" applyProtection="0"/>
    <xf numFmtId="0" fontId="138" fillId="66" borderId="0" applyNumberFormat="0" applyBorder="0" applyAlignment="0" applyProtection="0"/>
    <xf numFmtId="0" fontId="138" fillId="55" borderId="0" applyNumberFormat="0" applyBorder="0" applyAlignment="0" applyProtection="0"/>
    <xf numFmtId="0" fontId="138" fillId="56" borderId="0" applyNumberFormat="0" applyBorder="0" applyAlignment="0" applyProtection="0"/>
    <xf numFmtId="0" fontId="138" fillId="69" borderId="0" applyNumberFormat="0" applyBorder="0" applyAlignment="0" applyProtection="0"/>
    <xf numFmtId="0" fontId="138" fillId="69" borderId="0" applyNumberFormat="0" applyBorder="0" applyAlignment="0" applyProtection="0"/>
    <xf numFmtId="0" fontId="138" fillId="69" borderId="0" applyNumberFormat="0" applyBorder="0" applyAlignment="0" applyProtection="0"/>
    <xf numFmtId="0" fontId="138" fillId="69" borderId="0" applyNumberFormat="0" applyBorder="0" applyAlignment="0" applyProtection="0"/>
    <xf numFmtId="0" fontId="138" fillId="69" borderId="0" applyNumberFormat="0" applyBorder="0" applyAlignment="0" applyProtection="0"/>
    <xf numFmtId="0" fontId="138" fillId="69" borderId="0" applyNumberFormat="0" applyBorder="0" applyAlignment="0" applyProtection="0"/>
    <xf numFmtId="0" fontId="138" fillId="69" borderId="0" applyNumberFormat="0" applyBorder="0" applyAlignment="0" applyProtection="0"/>
    <xf numFmtId="0" fontId="138" fillId="69" borderId="0" applyNumberFormat="0" applyBorder="0" applyAlignment="0" applyProtection="0"/>
    <xf numFmtId="0" fontId="138" fillId="56" borderId="0" applyNumberFormat="0" applyBorder="0" applyAlignment="0" applyProtection="0"/>
    <xf numFmtId="0" fontId="138" fillId="55" borderId="0" applyNumberFormat="0" applyBorder="0" applyAlignment="0" applyProtection="0"/>
    <xf numFmtId="0" fontId="138" fillId="66" borderId="0" applyNumberFormat="0" applyBorder="0" applyAlignment="0" applyProtection="0"/>
    <xf numFmtId="0" fontId="138" fillId="64" borderId="0" applyNumberFormat="0" applyBorder="0" applyAlignment="0" applyProtection="0"/>
    <xf numFmtId="0" fontId="138" fillId="60" borderId="0" applyNumberFormat="0" applyBorder="0" applyAlignment="0" applyProtection="0"/>
    <xf numFmtId="0" fontId="138" fillId="56" borderId="0" applyNumberFormat="0" applyBorder="0" applyAlignment="0" applyProtection="0"/>
    <xf numFmtId="0" fontId="138" fillId="55" borderId="0" applyNumberFormat="0" applyBorder="0" applyAlignment="0" applyProtection="0"/>
    <xf numFmtId="0" fontId="138" fillId="66" borderId="0" applyNumberFormat="0" applyBorder="0" applyAlignment="0" applyProtection="0"/>
    <xf numFmtId="0" fontId="138" fillId="64" borderId="0" applyNumberFormat="0" applyBorder="0" applyAlignment="0" applyProtection="0"/>
    <xf numFmtId="0" fontId="138" fillId="60" borderId="0" applyNumberFormat="0" applyBorder="0" applyAlignment="0" applyProtection="0"/>
    <xf numFmtId="0" fontId="138" fillId="56" borderId="0" applyNumberFormat="0" applyBorder="0" applyAlignment="0" applyProtection="0"/>
    <xf numFmtId="0" fontId="138" fillId="55" borderId="0" applyNumberFormat="0" applyBorder="0" applyAlignment="0" applyProtection="0"/>
    <xf numFmtId="0" fontId="138" fillId="66" borderId="0" applyNumberFormat="0" applyBorder="0" applyAlignment="0" applyProtection="0"/>
    <xf numFmtId="0" fontId="138" fillId="64" borderId="0" applyNumberFormat="0" applyBorder="0" applyAlignment="0" applyProtection="0"/>
    <xf numFmtId="0" fontId="138" fillId="60" borderId="0" applyNumberFormat="0" applyBorder="0" applyAlignment="0" applyProtection="0"/>
    <xf numFmtId="0" fontId="138" fillId="56" borderId="0" applyNumberFormat="0" applyBorder="0" applyAlignment="0" applyProtection="0"/>
    <xf numFmtId="0" fontId="138" fillId="55" borderId="0" applyNumberFormat="0" applyBorder="0" applyAlignment="0" applyProtection="0"/>
    <xf numFmtId="0" fontId="138" fillId="66" borderId="0" applyNumberFormat="0" applyBorder="0" applyAlignment="0" applyProtection="0"/>
    <xf numFmtId="0" fontId="138" fillId="64" borderId="0" applyNumberFormat="0" applyBorder="0" applyAlignment="0" applyProtection="0"/>
    <xf numFmtId="0" fontId="138" fillId="60" borderId="0" applyNumberFormat="0" applyBorder="0" applyAlignment="0" applyProtection="0"/>
    <xf numFmtId="0" fontId="138" fillId="56" borderId="0" applyNumberFormat="0" applyBorder="0" applyAlignment="0" applyProtection="0"/>
    <xf numFmtId="0" fontId="138" fillId="55" borderId="0" applyNumberFormat="0" applyBorder="0" applyAlignment="0" applyProtection="0"/>
    <xf numFmtId="0" fontId="138" fillId="66" borderId="0" applyNumberFormat="0" applyBorder="0" applyAlignment="0" applyProtection="0"/>
    <xf numFmtId="0" fontId="136" fillId="0" borderId="0"/>
    <xf numFmtId="0" fontId="138" fillId="69" borderId="0" applyNumberFormat="0" applyBorder="0" applyAlignment="0" applyProtection="0"/>
    <xf numFmtId="0" fontId="138" fillId="64" borderId="0" applyNumberFormat="0" applyBorder="0" applyAlignment="0" applyProtection="0"/>
    <xf numFmtId="0" fontId="138" fillId="60" borderId="0" applyNumberFormat="0" applyBorder="0" applyAlignment="0" applyProtection="0"/>
    <xf numFmtId="0" fontId="138" fillId="56" borderId="0" applyNumberFormat="0" applyBorder="0" applyAlignment="0" applyProtection="0"/>
    <xf numFmtId="0" fontId="138" fillId="55" borderId="0" applyNumberFormat="0" applyBorder="0" applyAlignment="0" applyProtection="0"/>
    <xf numFmtId="0" fontId="138" fillId="66" borderId="0" applyNumberFormat="0" applyBorder="0" applyAlignment="0" applyProtection="0"/>
    <xf numFmtId="0" fontId="136" fillId="0" borderId="0"/>
    <xf numFmtId="0" fontId="138" fillId="69" borderId="0" applyNumberFormat="0" applyBorder="0" applyAlignment="0" applyProtection="0"/>
    <xf numFmtId="0" fontId="138" fillId="64" borderId="0" applyNumberFormat="0" applyBorder="0" applyAlignment="0" applyProtection="0"/>
    <xf numFmtId="0" fontId="138" fillId="60" borderId="0" applyNumberFormat="0" applyBorder="0" applyAlignment="0" applyProtection="0"/>
    <xf numFmtId="0" fontId="138" fillId="56" borderId="0" applyNumberFormat="0" applyBorder="0" applyAlignment="0" applyProtection="0"/>
    <xf numFmtId="0" fontId="138" fillId="55" borderId="0" applyNumberFormat="0" applyBorder="0" applyAlignment="0" applyProtection="0"/>
    <xf numFmtId="0" fontId="138" fillId="66" borderId="0" applyNumberFormat="0" applyBorder="0" applyAlignment="0" applyProtection="0"/>
    <xf numFmtId="0" fontId="136" fillId="0" borderId="0"/>
    <xf numFmtId="0" fontId="138" fillId="69" borderId="0" applyNumberFormat="0" applyBorder="0" applyAlignment="0" applyProtection="0"/>
    <xf numFmtId="0" fontId="138" fillId="64" borderId="0" applyNumberFormat="0" applyBorder="0" applyAlignment="0" applyProtection="0"/>
    <xf numFmtId="0" fontId="138" fillId="60" borderId="0" applyNumberFormat="0" applyBorder="0" applyAlignment="0" applyProtection="0"/>
    <xf numFmtId="0" fontId="138" fillId="55" borderId="0" applyNumberFormat="0" applyBorder="0" applyAlignment="0" applyProtection="0"/>
    <xf numFmtId="0" fontId="138" fillId="66" borderId="0" applyNumberFormat="0" applyBorder="0" applyAlignment="0" applyProtection="0"/>
    <xf numFmtId="0" fontId="138" fillId="64" borderId="0" applyNumberFormat="0" applyBorder="0" applyAlignment="0" applyProtection="0"/>
    <xf numFmtId="0" fontId="136" fillId="0" borderId="0"/>
    <xf numFmtId="0" fontId="138" fillId="69" borderId="0" applyNumberFormat="0" applyBorder="0" applyAlignment="0" applyProtection="0"/>
    <xf numFmtId="0" fontId="138" fillId="64" borderId="0" applyNumberFormat="0" applyBorder="0" applyAlignment="0" applyProtection="0"/>
    <xf numFmtId="0" fontId="138" fillId="60" borderId="0" applyNumberFormat="0" applyBorder="0" applyAlignment="0" applyProtection="0"/>
    <xf numFmtId="0" fontId="138" fillId="69" borderId="0" applyNumberFormat="0" applyBorder="0" applyAlignment="0" applyProtection="0"/>
    <xf numFmtId="0" fontId="138" fillId="56" borderId="0" applyNumberFormat="0" applyBorder="0" applyAlignment="0" applyProtection="0"/>
    <xf numFmtId="0" fontId="138" fillId="55" borderId="0" applyNumberFormat="0" applyBorder="0" applyAlignment="0" applyProtection="0"/>
    <xf numFmtId="0" fontId="136" fillId="0" borderId="0"/>
    <xf numFmtId="0" fontId="138" fillId="56" borderId="0" applyNumberFormat="0" applyBorder="0" applyAlignment="0" applyProtection="0"/>
    <xf numFmtId="0" fontId="138" fillId="60" borderId="0" applyNumberFormat="0" applyBorder="0" applyAlignment="0" applyProtection="0"/>
    <xf numFmtId="0" fontId="138" fillId="56" borderId="0" applyNumberFormat="0" applyBorder="0" applyAlignment="0" applyProtection="0"/>
    <xf numFmtId="0" fontId="138" fillId="55" borderId="0" applyNumberFormat="0" applyBorder="0" applyAlignment="0" applyProtection="0"/>
    <xf numFmtId="0" fontId="138" fillId="66" borderId="0" applyNumberFormat="0" applyBorder="0" applyAlignment="0" applyProtection="0"/>
    <xf numFmtId="0" fontId="138" fillId="64" borderId="0" applyNumberFormat="0" applyBorder="0" applyAlignment="0" applyProtection="0"/>
    <xf numFmtId="0" fontId="136" fillId="0" borderId="0"/>
    <xf numFmtId="0" fontId="138" fillId="69" borderId="0" applyNumberFormat="0" applyBorder="0" applyAlignment="0" applyProtection="0"/>
    <xf numFmtId="0" fontId="138" fillId="66" borderId="0" applyNumberFormat="0" applyBorder="0" applyAlignment="0" applyProtection="0"/>
    <xf numFmtId="0" fontId="138" fillId="64" borderId="0" applyNumberFormat="0" applyBorder="0" applyAlignment="0" applyProtection="0"/>
    <xf numFmtId="0" fontId="138" fillId="60" borderId="0" applyNumberFormat="0" applyBorder="0" applyAlignment="0" applyProtection="0"/>
    <xf numFmtId="0" fontId="138" fillId="56" borderId="0" applyNumberFormat="0" applyBorder="0" applyAlignment="0" applyProtection="0"/>
    <xf numFmtId="0" fontId="138" fillId="55" borderId="0" applyNumberFormat="0" applyBorder="0" applyAlignment="0" applyProtection="0"/>
    <xf numFmtId="0" fontId="136" fillId="0" borderId="0"/>
    <xf numFmtId="0" fontId="138" fillId="69" borderId="0" applyNumberFormat="0" applyBorder="0" applyAlignment="0" applyProtection="0"/>
    <xf numFmtId="0" fontId="138" fillId="60" borderId="0" applyNumberFormat="0" applyBorder="0" applyAlignment="0" applyProtection="0"/>
    <xf numFmtId="0" fontId="138" fillId="56" borderId="0" applyNumberFormat="0" applyBorder="0" applyAlignment="0" applyProtection="0"/>
    <xf numFmtId="0" fontId="138" fillId="55" borderId="0" applyNumberFormat="0" applyBorder="0" applyAlignment="0" applyProtection="0"/>
    <xf numFmtId="0" fontId="138" fillId="66" borderId="0" applyNumberFormat="0" applyBorder="0" applyAlignment="0" applyProtection="0"/>
    <xf numFmtId="0" fontId="138" fillId="64" borderId="0" applyNumberFormat="0" applyBorder="0" applyAlignment="0" applyProtection="0"/>
    <xf numFmtId="0" fontId="136" fillId="0" borderId="0"/>
    <xf numFmtId="0" fontId="138" fillId="69" borderId="0" applyNumberFormat="0" applyBorder="0" applyAlignment="0" applyProtection="0"/>
    <xf numFmtId="0" fontId="138" fillId="66" borderId="0" applyNumberFormat="0" applyBorder="0" applyAlignment="0" applyProtection="0"/>
    <xf numFmtId="0" fontId="138" fillId="64" borderId="0" applyNumberFormat="0" applyBorder="0" applyAlignment="0" applyProtection="0"/>
    <xf numFmtId="0" fontId="138" fillId="60" borderId="0" applyNumberFormat="0" applyBorder="0" applyAlignment="0" applyProtection="0"/>
    <xf numFmtId="0" fontId="138" fillId="56" borderId="0" applyNumberFormat="0" applyBorder="0" applyAlignment="0" applyProtection="0"/>
    <xf numFmtId="0" fontId="138" fillId="55" borderId="0" applyNumberFormat="0" applyBorder="0" applyAlignment="0" applyProtection="0"/>
    <xf numFmtId="0" fontId="136" fillId="0" borderId="0"/>
    <xf numFmtId="0" fontId="138" fillId="69" borderId="0" applyNumberFormat="0" applyBorder="0" applyAlignment="0" applyProtection="0"/>
    <xf numFmtId="0" fontId="138" fillId="60" borderId="0" applyNumberFormat="0" applyBorder="0" applyAlignment="0" applyProtection="0"/>
    <xf numFmtId="0" fontId="138" fillId="56" borderId="0" applyNumberFormat="0" applyBorder="0" applyAlignment="0" applyProtection="0"/>
    <xf numFmtId="0" fontId="138" fillId="55" borderId="0" applyNumberFormat="0" applyBorder="0" applyAlignment="0" applyProtection="0"/>
    <xf numFmtId="0" fontId="138" fillId="66" borderId="0" applyNumberFormat="0" applyBorder="0" applyAlignment="0" applyProtection="0"/>
    <xf numFmtId="0" fontId="138" fillId="64" borderId="0" applyNumberFormat="0" applyBorder="0" applyAlignment="0" applyProtection="0"/>
    <xf numFmtId="0" fontId="136" fillId="0" borderId="0"/>
    <xf numFmtId="0" fontId="138" fillId="69" borderId="0" applyNumberFormat="0" applyBorder="0" applyAlignment="0" applyProtection="0"/>
    <xf numFmtId="0" fontId="138" fillId="66" borderId="0" applyNumberFormat="0" applyBorder="0" applyAlignment="0" applyProtection="0"/>
    <xf numFmtId="0" fontId="138" fillId="64" borderId="0" applyNumberFormat="0" applyBorder="0" applyAlignment="0" applyProtection="0"/>
    <xf numFmtId="0" fontId="138" fillId="60" borderId="0" applyNumberFormat="0" applyBorder="0" applyAlignment="0" applyProtection="0"/>
    <xf numFmtId="0" fontId="138" fillId="56" borderId="0" applyNumberFormat="0" applyBorder="0" applyAlignment="0" applyProtection="0"/>
    <xf numFmtId="0" fontId="138" fillId="55" borderId="0" applyNumberFormat="0" applyBorder="0" applyAlignment="0" applyProtection="0"/>
    <xf numFmtId="0" fontId="136" fillId="0" borderId="0"/>
    <xf numFmtId="0" fontId="138" fillId="69" borderId="0" applyNumberFormat="0" applyBorder="0" applyAlignment="0" applyProtection="0"/>
    <xf numFmtId="0" fontId="138" fillId="60" borderId="0" applyNumberFormat="0" applyBorder="0" applyAlignment="0" applyProtection="0"/>
    <xf numFmtId="0" fontId="138" fillId="56" borderId="0" applyNumberFormat="0" applyBorder="0" applyAlignment="0" applyProtection="0"/>
    <xf numFmtId="0" fontId="138" fillId="55" borderId="0" applyNumberFormat="0" applyBorder="0" applyAlignment="0" applyProtection="0"/>
    <xf numFmtId="0" fontId="138" fillId="66" borderId="0" applyNumberFormat="0" applyBorder="0" applyAlignment="0" applyProtection="0"/>
    <xf numFmtId="0" fontId="136" fillId="0" borderId="0"/>
    <xf numFmtId="0" fontId="138" fillId="69" borderId="0" applyNumberFormat="0" applyBorder="0" applyAlignment="0" applyProtection="0"/>
    <xf numFmtId="0" fontId="138" fillId="66" borderId="0" applyNumberFormat="0" applyBorder="0" applyAlignment="0" applyProtection="0"/>
    <xf numFmtId="0" fontId="138" fillId="64" borderId="0" applyNumberFormat="0" applyBorder="0" applyAlignment="0" applyProtection="0"/>
    <xf numFmtId="0" fontId="138" fillId="60" borderId="0" applyNumberFormat="0" applyBorder="0" applyAlignment="0" applyProtection="0"/>
    <xf numFmtId="0" fontId="138" fillId="56" borderId="0" applyNumberFormat="0" applyBorder="0" applyAlignment="0" applyProtection="0"/>
    <xf numFmtId="0" fontId="138" fillId="55" borderId="0" applyNumberFormat="0" applyBorder="0" applyAlignment="0" applyProtection="0"/>
    <xf numFmtId="0" fontId="138" fillId="66" borderId="0" applyNumberFormat="0" applyBorder="0" applyAlignment="0" applyProtection="0"/>
    <xf numFmtId="0" fontId="136" fillId="0" borderId="0"/>
    <xf numFmtId="0" fontId="138" fillId="69" borderId="0" applyNumberFormat="0" applyBorder="0" applyAlignment="0" applyProtection="0"/>
    <xf numFmtId="0" fontId="138" fillId="64" borderId="0" applyNumberFormat="0" applyBorder="0" applyAlignment="0" applyProtection="0"/>
    <xf numFmtId="0" fontId="138" fillId="60" borderId="0" applyNumberFormat="0" applyBorder="0" applyAlignment="0" applyProtection="0"/>
    <xf numFmtId="0" fontId="138" fillId="56" borderId="0" applyNumberFormat="0" applyBorder="0" applyAlignment="0" applyProtection="0"/>
    <xf numFmtId="0" fontId="138" fillId="55" borderId="0" applyNumberFormat="0" applyBorder="0" applyAlignment="0" applyProtection="0"/>
    <xf numFmtId="0" fontId="138" fillId="66" borderId="0" applyNumberFormat="0" applyBorder="0" applyAlignment="0" applyProtection="0"/>
    <xf numFmtId="0" fontId="136" fillId="0" borderId="0"/>
    <xf numFmtId="0" fontId="138" fillId="69" borderId="0" applyNumberFormat="0" applyBorder="0" applyAlignment="0" applyProtection="0"/>
    <xf numFmtId="0" fontId="138" fillId="64" borderId="0" applyNumberFormat="0" applyBorder="0" applyAlignment="0" applyProtection="0"/>
    <xf numFmtId="0" fontId="138" fillId="60" borderId="0" applyNumberFormat="0" applyBorder="0" applyAlignment="0" applyProtection="0"/>
    <xf numFmtId="0" fontId="138" fillId="56" borderId="0" applyNumberFormat="0" applyBorder="0" applyAlignment="0" applyProtection="0"/>
    <xf numFmtId="0" fontId="138" fillId="55" borderId="0" applyNumberFormat="0" applyBorder="0" applyAlignment="0" applyProtection="0"/>
    <xf numFmtId="0" fontId="138" fillId="66" borderId="0" applyNumberFormat="0" applyBorder="0" applyAlignment="0" applyProtection="0"/>
    <xf numFmtId="0" fontId="136" fillId="0" borderId="0"/>
    <xf numFmtId="0" fontId="138" fillId="69" borderId="0" applyNumberFormat="0" applyBorder="0" applyAlignment="0" applyProtection="0"/>
    <xf numFmtId="0" fontId="138" fillId="64" borderId="0" applyNumberFormat="0" applyBorder="0" applyAlignment="0" applyProtection="0"/>
    <xf numFmtId="0" fontId="138" fillId="60" borderId="0" applyNumberFormat="0" applyBorder="0" applyAlignment="0" applyProtection="0"/>
    <xf numFmtId="0" fontId="138" fillId="56" borderId="0" applyNumberFormat="0" applyBorder="0" applyAlignment="0" applyProtection="0"/>
    <xf numFmtId="0" fontId="138" fillId="55" borderId="0" applyNumberFormat="0" applyBorder="0" applyAlignment="0" applyProtection="0"/>
    <xf numFmtId="0" fontId="138" fillId="66" borderId="0" applyNumberFormat="0" applyBorder="0" applyAlignment="0" applyProtection="0"/>
    <xf numFmtId="0" fontId="136" fillId="0" borderId="0"/>
    <xf numFmtId="0" fontId="138" fillId="69" borderId="0" applyNumberFormat="0" applyBorder="0" applyAlignment="0" applyProtection="0"/>
    <xf numFmtId="0" fontId="138" fillId="64" borderId="0" applyNumberFormat="0" applyBorder="0" applyAlignment="0" applyProtection="0"/>
    <xf numFmtId="0" fontId="138" fillId="60" borderId="0" applyNumberFormat="0" applyBorder="0" applyAlignment="0" applyProtection="0"/>
    <xf numFmtId="0" fontId="138" fillId="56" borderId="0" applyNumberFormat="0" applyBorder="0" applyAlignment="0" applyProtection="0"/>
    <xf numFmtId="0" fontId="138" fillId="55" borderId="0" applyNumberFormat="0" applyBorder="0" applyAlignment="0" applyProtection="0"/>
    <xf numFmtId="0" fontId="138" fillId="66" borderId="0" applyNumberFormat="0" applyBorder="0" applyAlignment="0" applyProtection="0"/>
    <xf numFmtId="0" fontId="136" fillId="0" borderId="0"/>
    <xf numFmtId="0" fontId="138" fillId="69" borderId="0" applyNumberFormat="0" applyBorder="0" applyAlignment="0" applyProtection="0"/>
    <xf numFmtId="0" fontId="138" fillId="64" borderId="0" applyNumberFormat="0" applyBorder="0" applyAlignment="0" applyProtection="0"/>
    <xf numFmtId="0" fontId="138" fillId="60" borderId="0" applyNumberFormat="0" applyBorder="0" applyAlignment="0" applyProtection="0"/>
    <xf numFmtId="0" fontId="138" fillId="56" borderId="0" applyNumberFormat="0" applyBorder="0" applyAlignment="0" applyProtection="0"/>
    <xf numFmtId="0" fontId="138" fillId="55" borderId="0" applyNumberFormat="0" applyBorder="0" applyAlignment="0" applyProtection="0"/>
    <xf numFmtId="0" fontId="138" fillId="66" borderId="0" applyNumberFormat="0" applyBorder="0" applyAlignment="0" applyProtection="0"/>
    <xf numFmtId="0" fontId="136" fillId="0" borderId="0"/>
    <xf numFmtId="0" fontId="138" fillId="69" borderId="0" applyNumberFormat="0" applyBorder="0" applyAlignment="0" applyProtection="0"/>
    <xf numFmtId="0" fontId="138" fillId="64" borderId="0" applyNumberFormat="0" applyBorder="0" applyAlignment="0" applyProtection="0"/>
    <xf numFmtId="0" fontId="138" fillId="60" borderId="0" applyNumberFormat="0" applyBorder="0" applyAlignment="0" applyProtection="0"/>
    <xf numFmtId="0" fontId="136" fillId="0" borderId="0"/>
    <xf numFmtId="0" fontId="138" fillId="69" borderId="0" applyNumberFormat="0" applyBorder="0" applyAlignment="0" applyProtection="0"/>
    <xf numFmtId="0" fontId="138" fillId="64" borderId="0" applyNumberFormat="0" applyBorder="0" applyAlignment="0" applyProtection="0"/>
    <xf numFmtId="0" fontId="138" fillId="60" borderId="0" applyNumberFormat="0" applyBorder="0" applyAlignment="0" applyProtection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8" fillId="66" borderId="0" applyNumberFormat="0" applyBorder="0" applyAlignment="0" applyProtection="0"/>
    <xf numFmtId="0" fontId="138" fillId="55" borderId="0" applyNumberFormat="0" applyBorder="0" applyAlignment="0" applyProtection="0"/>
    <xf numFmtId="0" fontId="138" fillId="56" borderId="0" applyNumberFormat="0" applyBorder="0" applyAlignment="0" applyProtection="0"/>
    <xf numFmtId="0" fontId="138" fillId="60" borderId="0" applyNumberFormat="0" applyBorder="0" applyAlignment="0" applyProtection="0"/>
    <xf numFmtId="0" fontId="138" fillId="64" borderId="0" applyNumberFormat="0" applyBorder="0" applyAlignment="0" applyProtection="0"/>
    <xf numFmtId="0" fontId="138" fillId="66" borderId="0" applyNumberFormat="0" applyBorder="0" applyAlignment="0" applyProtection="0"/>
    <xf numFmtId="0" fontId="138" fillId="55" borderId="0" applyNumberFormat="0" applyBorder="0" applyAlignment="0" applyProtection="0"/>
    <xf numFmtId="0" fontId="138" fillId="56" borderId="0" applyNumberFormat="0" applyBorder="0" applyAlignment="0" applyProtection="0"/>
    <xf numFmtId="0" fontId="138" fillId="69" borderId="0" applyNumberFormat="0" applyBorder="0" applyAlignment="0" applyProtection="0"/>
    <xf numFmtId="0" fontId="138" fillId="69" borderId="0" applyNumberFormat="0" applyBorder="0" applyAlignment="0" applyProtection="0"/>
    <xf numFmtId="0" fontId="138" fillId="69" borderId="0" applyNumberFormat="0" applyBorder="0" applyAlignment="0" applyProtection="0"/>
    <xf numFmtId="0" fontId="138" fillId="69" borderId="0" applyNumberFormat="0" applyBorder="0" applyAlignment="0" applyProtection="0"/>
    <xf numFmtId="0" fontId="138" fillId="69" borderId="0" applyNumberFormat="0" applyBorder="0" applyAlignment="0" applyProtection="0"/>
    <xf numFmtId="0" fontId="138" fillId="69" borderId="0" applyNumberFormat="0" applyBorder="0" applyAlignment="0" applyProtection="0"/>
    <xf numFmtId="0" fontId="138" fillId="69" borderId="0" applyNumberFormat="0" applyBorder="0" applyAlignment="0" applyProtection="0"/>
    <xf numFmtId="0" fontId="138" fillId="69" borderId="0" applyNumberFormat="0" applyBorder="0" applyAlignment="0" applyProtection="0"/>
    <xf numFmtId="0" fontId="138" fillId="56" borderId="0" applyNumberFormat="0" applyBorder="0" applyAlignment="0" applyProtection="0"/>
    <xf numFmtId="0" fontId="138" fillId="55" borderId="0" applyNumberFormat="0" applyBorder="0" applyAlignment="0" applyProtection="0"/>
    <xf numFmtId="0" fontId="138" fillId="60" borderId="0" applyNumberFormat="0" applyBorder="0" applyAlignment="0" applyProtection="0"/>
    <xf numFmtId="0" fontId="138" fillId="64" borderId="0" applyNumberFormat="0" applyBorder="0" applyAlignment="0" applyProtection="0"/>
    <xf numFmtId="0" fontId="138" fillId="66" borderId="0" applyNumberFormat="0" applyBorder="0" applyAlignment="0" applyProtection="0"/>
    <xf numFmtId="0" fontId="138" fillId="55" borderId="0" applyNumberFormat="0" applyBorder="0" applyAlignment="0" applyProtection="0"/>
    <xf numFmtId="0" fontId="138" fillId="56" borderId="0" applyNumberFormat="0" applyBorder="0" applyAlignment="0" applyProtection="0"/>
    <xf numFmtId="0" fontId="138" fillId="69" borderId="0" applyNumberFormat="0" applyBorder="0" applyAlignment="0" applyProtection="0"/>
    <xf numFmtId="0" fontId="138" fillId="66" borderId="0" applyNumberFormat="0" applyBorder="0" applyAlignment="0" applyProtection="0"/>
    <xf numFmtId="0" fontId="138" fillId="64" borderId="0" applyNumberFormat="0" applyBorder="0" applyAlignment="0" applyProtection="0"/>
    <xf numFmtId="0" fontId="138" fillId="60" borderId="0" applyNumberFormat="0" applyBorder="0" applyAlignment="0" applyProtection="0"/>
    <xf numFmtId="0" fontId="138" fillId="55" borderId="0" applyNumberFormat="0" applyBorder="0" applyAlignment="0" applyProtection="0"/>
    <xf numFmtId="0" fontId="138" fillId="66" borderId="0" applyNumberFormat="0" applyBorder="0" applyAlignment="0" applyProtection="0"/>
    <xf numFmtId="0" fontId="138" fillId="64" borderId="0" applyNumberFormat="0" applyBorder="0" applyAlignment="0" applyProtection="0"/>
    <xf numFmtId="0" fontId="138" fillId="60" borderId="0" applyNumberFormat="0" applyBorder="0" applyAlignment="0" applyProtection="0"/>
    <xf numFmtId="0" fontId="138" fillId="56" borderId="0" applyNumberFormat="0" applyBorder="0" applyAlignment="0" applyProtection="0"/>
    <xf numFmtId="0" fontId="138" fillId="55" borderId="0" applyNumberFormat="0" applyBorder="0" applyAlignment="0" applyProtection="0"/>
    <xf numFmtId="0" fontId="138" fillId="66" borderId="0" applyNumberFormat="0" applyBorder="0" applyAlignment="0" applyProtection="0"/>
    <xf numFmtId="0" fontId="138" fillId="64" borderId="0" applyNumberFormat="0" applyBorder="0" applyAlignment="0" applyProtection="0"/>
    <xf numFmtId="0" fontId="138" fillId="60" borderId="0" applyNumberFormat="0" applyBorder="0" applyAlignment="0" applyProtection="0"/>
    <xf numFmtId="0" fontId="138" fillId="56" borderId="0" applyNumberFormat="0" applyBorder="0" applyAlignment="0" applyProtection="0"/>
    <xf numFmtId="0" fontId="138" fillId="55" borderId="0" applyNumberFormat="0" applyBorder="0" applyAlignment="0" applyProtection="0"/>
    <xf numFmtId="0" fontId="138" fillId="66" borderId="0" applyNumberFormat="0" applyBorder="0" applyAlignment="0" applyProtection="0"/>
    <xf numFmtId="0" fontId="138" fillId="64" borderId="0" applyNumberFormat="0" applyBorder="0" applyAlignment="0" applyProtection="0"/>
    <xf numFmtId="0" fontId="138" fillId="60" borderId="0" applyNumberFormat="0" applyBorder="0" applyAlignment="0" applyProtection="0"/>
    <xf numFmtId="0" fontId="138" fillId="56" borderId="0" applyNumberFormat="0" applyBorder="0" applyAlignment="0" applyProtection="0"/>
    <xf numFmtId="0" fontId="138" fillId="55" borderId="0" applyNumberFormat="0" applyBorder="0" applyAlignment="0" applyProtection="0"/>
    <xf numFmtId="0" fontId="138" fillId="66" borderId="0" applyNumberFormat="0" applyBorder="0" applyAlignment="0" applyProtection="0"/>
    <xf numFmtId="0" fontId="136" fillId="0" borderId="0"/>
    <xf numFmtId="0" fontId="138" fillId="56" borderId="0" applyNumberFormat="0" applyBorder="0" applyAlignment="0" applyProtection="0"/>
    <xf numFmtId="0" fontId="138" fillId="64" borderId="0" applyNumberFormat="0" applyBorder="0" applyAlignment="0" applyProtection="0"/>
    <xf numFmtId="0" fontId="138" fillId="60" borderId="0" applyNumberFormat="0" applyBorder="0" applyAlignment="0" applyProtection="0"/>
    <xf numFmtId="0" fontId="138" fillId="56" borderId="0" applyNumberFormat="0" applyBorder="0" applyAlignment="0" applyProtection="0"/>
    <xf numFmtId="0" fontId="138" fillId="55" borderId="0" applyNumberFormat="0" applyBorder="0" applyAlignment="0" applyProtection="0"/>
    <xf numFmtId="0" fontId="138" fillId="66" borderId="0" applyNumberFormat="0" applyBorder="0" applyAlignment="0" applyProtection="0"/>
    <xf numFmtId="0" fontId="138" fillId="64" borderId="0" applyNumberFormat="0" applyBorder="0" applyAlignment="0" applyProtection="0"/>
    <xf numFmtId="0" fontId="138" fillId="60" borderId="0" applyNumberFormat="0" applyBorder="0" applyAlignment="0" applyProtection="0"/>
    <xf numFmtId="0" fontId="138" fillId="56" borderId="0" applyNumberFormat="0" applyBorder="0" applyAlignment="0" applyProtection="0"/>
    <xf numFmtId="0" fontId="138" fillId="55" borderId="0" applyNumberFormat="0" applyBorder="0" applyAlignment="0" applyProtection="0"/>
    <xf numFmtId="0" fontId="138" fillId="66" borderId="0" applyNumberFormat="0" applyBorder="0" applyAlignment="0" applyProtection="0"/>
    <xf numFmtId="0" fontId="138" fillId="64" borderId="0" applyNumberFormat="0" applyBorder="0" applyAlignment="0" applyProtection="0"/>
    <xf numFmtId="0" fontId="138" fillId="60" borderId="0" applyNumberFormat="0" applyBorder="0" applyAlignment="0" applyProtection="0"/>
    <xf numFmtId="0" fontId="138" fillId="56" borderId="0" applyNumberFormat="0" applyBorder="0" applyAlignment="0" applyProtection="0"/>
    <xf numFmtId="0" fontId="138" fillId="55" borderId="0" applyNumberFormat="0" applyBorder="0" applyAlignment="0" applyProtection="0"/>
    <xf numFmtId="0" fontId="138" fillId="66" borderId="0" applyNumberFormat="0" applyBorder="0" applyAlignment="0" applyProtection="0"/>
    <xf numFmtId="0" fontId="136" fillId="0" borderId="0"/>
    <xf numFmtId="0" fontId="138" fillId="69" borderId="0" applyNumberFormat="0" applyBorder="0" applyAlignment="0" applyProtection="0"/>
    <xf numFmtId="0" fontId="138" fillId="64" borderId="0" applyNumberFormat="0" applyBorder="0" applyAlignment="0" applyProtection="0"/>
    <xf numFmtId="0" fontId="138" fillId="60" borderId="0" applyNumberFormat="0" applyBorder="0" applyAlignment="0" applyProtection="0"/>
    <xf numFmtId="0" fontId="138" fillId="56" borderId="0" applyNumberFormat="0" applyBorder="0" applyAlignment="0" applyProtection="0"/>
    <xf numFmtId="0" fontId="138" fillId="55" borderId="0" applyNumberFormat="0" applyBorder="0" applyAlignment="0" applyProtection="0"/>
    <xf numFmtId="0" fontId="138" fillId="66" borderId="0" applyNumberFormat="0" applyBorder="0" applyAlignment="0" applyProtection="0"/>
    <xf numFmtId="0" fontId="136" fillId="0" borderId="0"/>
    <xf numFmtId="0" fontId="138" fillId="69" borderId="0" applyNumberFormat="0" applyBorder="0" applyAlignment="0" applyProtection="0"/>
    <xf numFmtId="0" fontId="138" fillId="64" borderId="0" applyNumberFormat="0" applyBorder="0" applyAlignment="0" applyProtection="0"/>
    <xf numFmtId="0" fontId="138" fillId="60" borderId="0" applyNumberFormat="0" applyBorder="0" applyAlignment="0" applyProtection="0"/>
    <xf numFmtId="0" fontId="138" fillId="56" borderId="0" applyNumberFormat="0" applyBorder="0" applyAlignment="0" applyProtection="0"/>
    <xf numFmtId="0" fontId="138" fillId="55" borderId="0" applyNumberFormat="0" applyBorder="0" applyAlignment="0" applyProtection="0"/>
    <xf numFmtId="0" fontId="138" fillId="66" borderId="0" applyNumberFormat="0" applyBorder="0" applyAlignment="0" applyProtection="0"/>
    <xf numFmtId="0" fontId="136" fillId="0" borderId="0"/>
    <xf numFmtId="0" fontId="138" fillId="69" borderId="0" applyNumberFormat="0" applyBorder="0" applyAlignment="0" applyProtection="0"/>
    <xf numFmtId="0" fontId="138" fillId="64" borderId="0" applyNumberFormat="0" applyBorder="0" applyAlignment="0" applyProtection="0"/>
    <xf numFmtId="0" fontId="138" fillId="60" borderId="0" applyNumberFormat="0" applyBorder="0" applyAlignment="0" applyProtection="0"/>
    <xf numFmtId="0" fontId="138" fillId="56" borderId="0" applyNumberFormat="0" applyBorder="0" applyAlignment="0" applyProtection="0"/>
    <xf numFmtId="0" fontId="138" fillId="55" borderId="0" applyNumberFormat="0" applyBorder="0" applyAlignment="0" applyProtection="0"/>
    <xf numFmtId="0" fontId="138" fillId="66" borderId="0" applyNumberFormat="0" applyBorder="0" applyAlignment="0" applyProtection="0"/>
    <xf numFmtId="0" fontId="136" fillId="0" borderId="0"/>
    <xf numFmtId="0" fontId="138" fillId="69" borderId="0" applyNumberFormat="0" applyBorder="0" applyAlignment="0" applyProtection="0"/>
    <xf numFmtId="0" fontId="138" fillId="64" borderId="0" applyNumberFormat="0" applyBorder="0" applyAlignment="0" applyProtection="0"/>
    <xf numFmtId="0" fontId="138" fillId="60" borderId="0" applyNumberFormat="0" applyBorder="0" applyAlignment="0" applyProtection="0"/>
    <xf numFmtId="0" fontId="138" fillId="56" borderId="0" applyNumberFormat="0" applyBorder="0" applyAlignment="0" applyProtection="0"/>
    <xf numFmtId="0" fontId="138" fillId="55" borderId="0" applyNumberFormat="0" applyBorder="0" applyAlignment="0" applyProtection="0"/>
    <xf numFmtId="0" fontId="138" fillId="66" borderId="0" applyNumberFormat="0" applyBorder="0" applyAlignment="0" applyProtection="0"/>
    <xf numFmtId="0" fontId="136" fillId="0" borderId="0"/>
    <xf numFmtId="0" fontId="138" fillId="69" borderId="0" applyNumberFormat="0" applyBorder="0" applyAlignment="0" applyProtection="0"/>
    <xf numFmtId="0" fontId="138" fillId="64" borderId="0" applyNumberFormat="0" applyBorder="0" applyAlignment="0" applyProtection="0"/>
    <xf numFmtId="0" fontId="138" fillId="60" borderId="0" applyNumberFormat="0" applyBorder="0" applyAlignment="0" applyProtection="0"/>
    <xf numFmtId="0" fontId="138" fillId="56" borderId="0" applyNumberFormat="0" applyBorder="0" applyAlignment="0" applyProtection="0"/>
    <xf numFmtId="0" fontId="138" fillId="55" borderId="0" applyNumberFormat="0" applyBorder="0" applyAlignment="0" applyProtection="0"/>
    <xf numFmtId="0" fontId="138" fillId="66" borderId="0" applyNumberFormat="0" applyBorder="0" applyAlignment="0" applyProtection="0"/>
    <xf numFmtId="0" fontId="136" fillId="0" borderId="0"/>
    <xf numFmtId="0" fontId="138" fillId="69" borderId="0" applyNumberFormat="0" applyBorder="0" applyAlignment="0" applyProtection="0"/>
    <xf numFmtId="0" fontId="138" fillId="64" borderId="0" applyNumberFormat="0" applyBorder="0" applyAlignment="0" applyProtection="0"/>
    <xf numFmtId="0" fontId="138" fillId="60" borderId="0" applyNumberFormat="0" applyBorder="0" applyAlignment="0" applyProtection="0"/>
    <xf numFmtId="0" fontId="138" fillId="56" borderId="0" applyNumberFormat="0" applyBorder="0" applyAlignment="0" applyProtection="0"/>
    <xf numFmtId="0" fontId="138" fillId="55" borderId="0" applyNumberFormat="0" applyBorder="0" applyAlignment="0" applyProtection="0"/>
    <xf numFmtId="0" fontId="138" fillId="66" borderId="0" applyNumberFormat="0" applyBorder="0" applyAlignment="0" applyProtection="0"/>
    <xf numFmtId="0" fontId="136" fillId="0" borderId="0"/>
    <xf numFmtId="0" fontId="138" fillId="69" borderId="0" applyNumberFormat="0" applyBorder="0" applyAlignment="0" applyProtection="0"/>
    <xf numFmtId="0" fontId="138" fillId="64" borderId="0" applyNumberFormat="0" applyBorder="0" applyAlignment="0" applyProtection="0"/>
    <xf numFmtId="0" fontId="138" fillId="60" borderId="0" applyNumberFormat="0" applyBorder="0" applyAlignment="0" applyProtection="0"/>
    <xf numFmtId="0" fontId="138" fillId="56" borderId="0" applyNumberFormat="0" applyBorder="0" applyAlignment="0" applyProtection="0"/>
    <xf numFmtId="0" fontId="138" fillId="55" borderId="0" applyNumberFormat="0" applyBorder="0" applyAlignment="0" applyProtection="0"/>
    <xf numFmtId="0" fontId="138" fillId="66" borderId="0" applyNumberFormat="0" applyBorder="0" applyAlignment="0" applyProtection="0"/>
    <xf numFmtId="0" fontId="136" fillId="0" borderId="0"/>
    <xf numFmtId="0" fontId="138" fillId="69" borderId="0" applyNumberFormat="0" applyBorder="0" applyAlignment="0" applyProtection="0"/>
    <xf numFmtId="0" fontId="138" fillId="64" borderId="0" applyNumberFormat="0" applyBorder="0" applyAlignment="0" applyProtection="0"/>
    <xf numFmtId="0" fontId="138" fillId="60" borderId="0" applyNumberFormat="0" applyBorder="0" applyAlignment="0" applyProtection="0"/>
    <xf numFmtId="0" fontId="138" fillId="56" borderId="0" applyNumberFormat="0" applyBorder="0" applyAlignment="0" applyProtection="0"/>
    <xf numFmtId="0" fontId="138" fillId="55" borderId="0" applyNumberFormat="0" applyBorder="0" applyAlignment="0" applyProtection="0"/>
    <xf numFmtId="0" fontId="138" fillId="66" borderId="0" applyNumberFormat="0" applyBorder="0" applyAlignment="0" applyProtection="0"/>
    <xf numFmtId="0" fontId="136" fillId="0" borderId="0"/>
    <xf numFmtId="0" fontId="138" fillId="69" borderId="0" applyNumberFormat="0" applyBorder="0" applyAlignment="0" applyProtection="0"/>
    <xf numFmtId="0" fontId="138" fillId="64" borderId="0" applyNumberFormat="0" applyBorder="0" applyAlignment="0" applyProtection="0"/>
    <xf numFmtId="0" fontId="138" fillId="60" borderId="0" applyNumberFormat="0" applyBorder="0" applyAlignment="0" applyProtection="0"/>
    <xf numFmtId="0" fontId="138" fillId="56" borderId="0" applyNumberFormat="0" applyBorder="0" applyAlignment="0" applyProtection="0"/>
    <xf numFmtId="0" fontId="138" fillId="55" borderId="0" applyNumberFormat="0" applyBorder="0" applyAlignment="0" applyProtection="0"/>
    <xf numFmtId="0" fontId="138" fillId="66" borderId="0" applyNumberFormat="0" applyBorder="0" applyAlignment="0" applyProtection="0"/>
    <xf numFmtId="0" fontId="136" fillId="0" borderId="0"/>
    <xf numFmtId="0" fontId="138" fillId="69" borderId="0" applyNumberFormat="0" applyBorder="0" applyAlignment="0" applyProtection="0"/>
    <xf numFmtId="0" fontId="138" fillId="64" borderId="0" applyNumberFormat="0" applyBorder="0" applyAlignment="0" applyProtection="0"/>
    <xf numFmtId="0" fontId="138" fillId="60" borderId="0" applyNumberFormat="0" applyBorder="0" applyAlignment="0" applyProtection="0"/>
    <xf numFmtId="0" fontId="138" fillId="56" borderId="0" applyNumberFormat="0" applyBorder="0" applyAlignment="0" applyProtection="0"/>
    <xf numFmtId="0" fontId="138" fillId="55" borderId="0" applyNumberFormat="0" applyBorder="0" applyAlignment="0" applyProtection="0"/>
    <xf numFmtId="0" fontId="138" fillId="66" borderId="0" applyNumberFormat="0" applyBorder="0" applyAlignment="0" applyProtection="0"/>
    <xf numFmtId="0" fontId="136" fillId="0" borderId="0"/>
    <xf numFmtId="0" fontId="138" fillId="69" borderId="0" applyNumberFormat="0" applyBorder="0" applyAlignment="0" applyProtection="0"/>
    <xf numFmtId="0" fontId="138" fillId="64" borderId="0" applyNumberFormat="0" applyBorder="0" applyAlignment="0" applyProtection="0"/>
    <xf numFmtId="0" fontId="138" fillId="60" borderId="0" applyNumberFormat="0" applyBorder="0" applyAlignment="0" applyProtection="0"/>
    <xf numFmtId="0" fontId="138" fillId="56" borderId="0" applyNumberFormat="0" applyBorder="0" applyAlignment="0" applyProtection="0"/>
    <xf numFmtId="0" fontId="138" fillId="55" borderId="0" applyNumberFormat="0" applyBorder="0" applyAlignment="0" applyProtection="0"/>
    <xf numFmtId="0" fontId="138" fillId="66" borderId="0" applyNumberFormat="0" applyBorder="0" applyAlignment="0" applyProtection="0"/>
    <xf numFmtId="0" fontId="136" fillId="0" borderId="0"/>
    <xf numFmtId="0" fontId="138" fillId="69" borderId="0" applyNumberFormat="0" applyBorder="0" applyAlignment="0" applyProtection="0"/>
    <xf numFmtId="0" fontId="138" fillId="64" borderId="0" applyNumberFormat="0" applyBorder="0" applyAlignment="0" applyProtection="0"/>
    <xf numFmtId="0" fontId="138" fillId="60" borderId="0" applyNumberFormat="0" applyBorder="0" applyAlignment="0" applyProtection="0"/>
    <xf numFmtId="0" fontId="138" fillId="56" borderId="0" applyNumberFormat="0" applyBorder="0" applyAlignment="0" applyProtection="0"/>
    <xf numFmtId="0" fontId="138" fillId="55" borderId="0" applyNumberFormat="0" applyBorder="0" applyAlignment="0" applyProtection="0"/>
    <xf numFmtId="0" fontId="138" fillId="66" borderId="0" applyNumberFormat="0" applyBorder="0" applyAlignment="0" applyProtection="0"/>
    <xf numFmtId="0" fontId="136" fillId="0" borderId="0"/>
    <xf numFmtId="0" fontId="138" fillId="69" borderId="0" applyNumberFormat="0" applyBorder="0" applyAlignment="0" applyProtection="0"/>
    <xf numFmtId="0" fontId="138" fillId="64" borderId="0" applyNumberFormat="0" applyBorder="0" applyAlignment="0" applyProtection="0"/>
    <xf numFmtId="0" fontId="138" fillId="60" borderId="0" applyNumberFormat="0" applyBorder="0" applyAlignment="0" applyProtection="0"/>
    <xf numFmtId="0" fontId="138" fillId="56" borderId="0" applyNumberFormat="0" applyBorder="0" applyAlignment="0" applyProtection="0"/>
    <xf numFmtId="0" fontId="138" fillId="55" borderId="0" applyNumberFormat="0" applyBorder="0" applyAlignment="0" applyProtection="0"/>
    <xf numFmtId="0" fontId="138" fillId="66" borderId="0" applyNumberFormat="0" applyBorder="0" applyAlignment="0" applyProtection="0"/>
    <xf numFmtId="0" fontId="136" fillId="0" borderId="0"/>
    <xf numFmtId="0" fontId="138" fillId="69" borderId="0" applyNumberFormat="0" applyBorder="0" applyAlignment="0" applyProtection="0"/>
    <xf numFmtId="0" fontId="138" fillId="64" borderId="0" applyNumberFormat="0" applyBorder="0" applyAlignment="0" applyProtection="0"/>
    <xf numFmtId="0" fontId="138" fillId="60" borderId="0" applyNumberFormat="0" applyBorder="0" applyAlignment="0" applyProtection="0"/>
    <xf numFmtId="0" fontId="138" fillId="56" borderId="0" applyNumberFormat="0" applyBorder="0" applyAlignment="0" applyProtection="0"/>
    <xf numFmtId="0" fontId="138" fillId="55" borderId="0" applyNumberFormat="0" applyBorder="0" applyAlignment="0" applyProtection="0"/>
    <xf numFmtId="0" fontId="138" fillId="66" borderId="0" applyNumberFormat="0" applyBorder="0" applyAlignment="0" applyProtection="0"/>
    <xf numFmtId="0" fontId="136" fillId="0" borderId="0"/>
    <xf numFmtId="0" fontId="138" fillId="69" borderId="0" applyNumberFormat="0" applyBorder="0" applyAlignment="0" applyProtection="0"/>
    <xf numFmtId="0" fontId="138" fillId="64" borderId="0" applyNumberFormat="0" applyBorder="0" applyAlignment="0" applyProtection="0"/>
    <xf numFmtId="0" fontId="138" fillId="60" borderId="0" applyNumberFormat="0" applyBorder="0" applyAlignment="0" applyProtection="0"/>
    <xf numFmtId="0" fontId="136" fillId="0" borderId="0"/>
    <xf numFmtId="0" fontId="138" fillId="69" borderId="0" applyNumberFormat="0" applyBorder="0" applyAlignment="0" applyProtection="0"/>
    <xf numFmtId="0" fontId="138" fillId="64" borderId="0" applyNumberFormat="0" applyBorder="0" applyAlignment="0" applyProtection="0"/>
    <xf numFmtId="0" fontId="138" fillId="60" borderId="0" applyNumberFormat="0" applyBorder="0" applyAlignment="0" applyProtection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4" fillId="0" borderId="0"/>
    <xf numFmtId="0" fontId="72" fillId="0" borderId="0"/>
    <xf numFmtId="0" fontId="138" fillId="60" borderId="0" applyNumberFormat="0" applyBorder="0" applyAlignment="0" applyProtection="0"/>
    <xf numFmtId="0" fontId="138" fillId="64" borderId="0" applyNumberFormat="0" applyBorder="0" applyAlignment="0" applyProtection="0"/>
    <xf numFmtId="0" fontId="138" fillId="66" borderId="0" applyNumberFormat="0" applyBorder="0" applyAlignment="0" applyProtection="0"/>
    <xf numFmtId="0" fontId="138" fillId="55" borderId="0" applyNumberFormat="0" applyBorder="0" applyAlignment="0" applyProtection="0"/>
    <xf numFmtId="0" fontId="138" fillId="56" borderId="0" applyNumberFormat="0" applyBorder="0" applyAlignment="0" applyProtection="0"/>
    <xf numFmtId="0" fontId="138" fillId="69" borderId="0" applyNumberFormat="0" applyBorder="0" applyAlignment="0" applyProtection="0"/>
  </cellStyleXfs>
  <cellXfs count="875">
    <xf numFmtId="0" fontId="0" fillId="0" borderId="0" xfId="0"/>
    <xf numFmtId="0" fontId="6" fillId="0" borderId="0" xfId="0" applyFont="1"/>
    <xf numFmtId="0" fontId="8" fillId="0" borderId="0" xfId="0" applyFont="1"/>
    <xf numFmtId="0" fontId="6" fillId="0" borderId="0" xfId="0" applyFont="1" applyAlignment="1">
      <alignment horizontal="left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1" fillId="0" borderId="1" xfId="0" applyFont="1" applyBorder="1" applyAlignment="1">
      <alignment vertical="top" wrapText="1"/>
    </xf>
    <xf numFmtId="164" fontId="11" fillId="2" borderId="1" xfId="0" applyNumberFormat="1" applyFont="1" applyFill="1" applyBorder="1" applyAlignment="1">
      <alignment horizontal="center" vertical="top" wrapText="1"/>
    </xf>
    <xf numFmtId="0" fontId="15" fillId="0" borderId="0" xfId="0" applyFont="1"/>
    <xf numFmtId="0" fontId="7" fillId="0" borderId="0" xfId="0" applyFont="1"/>
    <xf numFmtId="0" fontId="16" fillId="0" borderId="0" xfId="0" applyFont="1"/>
    <xf numFmtId="0" fontId="18" fillId="0" borderId="0" xfId="0" applyFont="1"/>
    <xf numFmtId="164" fontId="11" fillId="0" borderId="0" xfId="0" applyNumberFormat="1" applyFont="1" applyAlignment="1">
      <alignment horizontal="center" vertical="top" wrapText="1"/>
    </xf>
    <xf numFmtId="0" fontId="11" fillId="0" borderId="1" xfId="0" applyFont="1" applyBorder="1" applyAlignment="1">
      <alignment vertical="top"/>
    </xf>
    <xf numFmtId="0" fontId="10" fillId="0" borderId="2" xfId="0" applyFont="1" applyBorder="1" applyAlignment="1">
      <alignment vertical="top" wrapText="1"/>
    </xf>
    <xf numFmtId="164" fontId="17" fillId="0" borderId="0" xfId="0" applyNumberFormat="1" applyFont="1" applyAlignment="1">
      <alignment horizontal="center" vertical="top"/>
    </xf>
    <xf numFmtId="0" fontId="17" fillId="0" borderId="0" xfId="0" applyFont="1" applyAlignment="1">
      <alignment vertical="top" wrapText="1"/>
    </xf>
    <xf numFmtId="164" fontId="11" fillId="2" borderId="1" xfId="0" applyNumberFormat="1" applyFont="1" applyFill="1" applyBorder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9" fillId="0" borderId="0" xfId="0" applyFont="1"/>
    <xf numFmtId="0" fontId="20" fillId="0" borderId="0" xfId="0" applyFont="1"/>
    <xf numFmtId="49" fontId="6" fillId="0" borderId="0" xfId="0" applyNumberFormat="1" applyFont="1"/>
    <xf numFmtId="49" fontId="0" fillId="0" borderId="0" xfId="0" applyNumberFormat="1"/>
    <xf numFmtId="49" fontId="4" fillId="0" borderId="1" xfId="0" applyNumberFormat="1" applyFont="1" applyBorder="1" applyAlignment="1">
      <alignment horizontal="center"/>
    </xf>
    <xf numFmtId="49" fontId="16" fillId="0" borderId="0" xfId="0" applyNumberFormat="1" applyFont="1"/>
    <xf numFmtId="49" fontId="6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0" fontId="10" fillId="3" borderId="1" xfId="0" applyFont="1" applyFill="1" applyBorder="1" applyAlignment="1">
      <alignment horizontal="center" vertical="top"/>
    </xf>
    <xf numFmtId="49" fontId="4" fillId="0" borderId="3" xfId="0" applyNumberFormat="1" applyFont="1" applyBorder="1" applyAlignment="1">
      <alignment horizontal="center"/>
    </xf>
    <xf numFmtId="164" fontId="11" fillId="2" borderId="3" xfId="0" applyNumberFormat="1" applyFont="1" applyFill="1" applyBorder="1" applyAlignment="1">
      <alignment horizontal="center" vertical="top" wrapText="1"/>
    </xf>
    <xf numFmtId="49" fontId="15" fillId="0" borderId="0" xfId="0" applyNumberFormat="1" applyFont="1" applyAlignment="1">
      <alignment horizontal="center"/>
    </xf>
    <xf numFmtId="0" fontId="11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5" fillId="0" borderId="0" xfId="0" applyFont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7" fillId="0" borderId="0" xfId="0" applyFont="1" applyAlignment="1">
      <alignment vertical="top"/>
    </xf>
    <xf numFmtId="0" fontId="10" fillId="3" borderId="4" xfId="0" applyFont="1" applyFill="1" applyBorder="1" applyAlignment="1">
      <alignment horizontal="center" vertical="top"/>
    </xf>
    <xf numFmtId="49" fontId="14" fillId="3" borderId="4" xfId="0" applyNumberFormat="1" applyFont="1" applyFill="1" applyBorder="1" applyAlignment="1">
      <alignment horizontal="left"/>
    </xf>
    <xf numFmtId="0" fontId="14" fillId="3" borderId="4" xfId="0" applyFont="1" applyFill="1" applyBorder="1" applyAlignment="1">
      <alignment horizontal="left"/>
    </xf>
    <xf numFmtId="0" fontId="14" fillId="3" borderId="4" xfId="0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49" fontId="14" fillId="3" borderId="3" xfId="0" applyNumberFormat="1" applyFont="1" applyFill="1" applyBorder="1" applyAlignment="1">
      <alignment horizontal="left"/>
    </xf>
    <xf numFmtId="0" fontId="14" fillId="3" borderId="3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 vertical="top"/>
    </xf>
    <xf numFmtId="0" fontId="10" fillId="3" borderId="7" xfId="0" applyFont="1" applyFill="1" applyBorder="1" applyAlignment="1">
      <alignment horizontal="center" vertical="top" wrapText="1"/>
    </xf>
    <xf numFmtId="0" fontId="14" fillId="3" borderId="3" xfId="0" applyFont="1" applyFill="1" applyBorder="1" applyAlignment="1">
      <alignment horizontal="center" vertical="top"/>
    </xf>
    <xf numFmtId="0" fontId="10" fillId="3" borderId="7" xfId="0" applyFont="1" applyFill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49" fontId="4" fillId="3" borderId="8" xfId="0" applyNumberFormat="1" applyFont="1" applyFill="1" applyBorder="1"/>
    <xf numFmtId="49" fontId="14" fillId="3" borderId="4" xfId="0" applyNumberFormat="1" applyFont="1" applyFill="1" applyBorder="1" applyAlignment="1">
      <alignment horizontal="center"/>
    </xf>
    <xf numFmtId="49" fontId="14" fillId="3" borderId="3" xfId="0" applyNumberFormat="1" applyFont="1" applyFill="1" applyBorder="1" applyAlignment="1">
      <alignment horizontal="center"/>
    </xf>
    <xf numFmtId="0" fontId="24" fillId="0" borderId="1" xfId="0" applyFont="1" applyBorder="1" applyAlignment="1">
      <alignment vertical="top" wrapText="1"/>
    </xf>
    <xf numFmtId="0" fontId="14" fillId="3" borderId="7" xfId="3" applyFont="1" applyFill="1" applyBorder="1" applyAlignment="1">
      <alignment horizontal="left" vertical="center" wrapText="1"/>
    </xf>
    <xf numFmtId="0" fontId="14" fillId="3" borderId="7" xfId="3" applyFont="1" applyFill="1" applyBorder="1" applyAlignment="1">
      <alignment horizontal="left" vertical="center"/>
    </xf>
    <xf numFmtId="49" fontId="21" fillId="0" borderId="0" xfId="0" applyNumberFormat="1" applyFont="1"/>
    <xf numFmtId="0" fontId="12" fillId="0" borderId="0" xfId="0" applyFont="1"/>
    <xf numFmtId="0" fontId="14" fillId="3" borderId="1" xfId="0" applyFont="1" applyFill="1" applyBorder="1" applyAlignment="1">
      <alignment horizontal="center"/>
    </xf>
    <xf numFmtId="164" fontId="11" fillId="0" borderId="1" xfId="0" applyNumberFormat="1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center" vertical="top" wrapText="1"/>
    </xf>
    <xf numFmtId="49" fontId="6" fillId="0" borderId="0" xfId="0" applyNumberFormat="1" applyFont="1" applyAlignment="1">
      <alignment horizontal="center"/>
    </xf>
    <xf numFmtId="49" fontId="14" fillId="3" borderId="8" xfId="0" applyNumberFormat="1" applyFont="1" applyFill="1" applyBorder="1" applyAlignment="1">
      <alignment horizontal="center"/>
    </xf>
    <xf numFmtId="0" fontId="14" fillId="3" borderId="8" xfId="0" applyFont="1" applyFill="1" applyBorder="1"/>
    <xf numFmtId="0" fontId="25" fillId="0" borderId="0" xfId="0" applyFont="1"/>
    <xf numFmtId="164" fontId="11" fillId="0" borderId="0" xfId="0" applyNumberFormat="1" applyFont="1" applyAlignment="1">
      <alignment horizontal="left" vertical="top" wrapText="1"/>
    </xf>
    <xf numFmtId="0" fontId="0" fillId="0" borderId="1" xfId="0" applyBorder="1"/>
    <xf numFmtId="0" fontId="0" fillId="0" borderId="1" xfId="0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1" xfId="0" quotePrefix="1" applyBorder="1" applyAlignment="1">
      <alignment horizontal="center"/>
    </xf>
    <xf numFmtId="0" fontId="26" fillId="0" borderId="0" xfId="0" applyFont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6" fontId="14" fillId="0" borderId="20" xfId="5" applyNumberFormat="1" applyFont="1" applyBorder="1" applyAlignment="1">
      <alignment horizontal="center" vertical="center"/>
    </xf>
    <xf numFmtId="0" fontId="14" fillId="0" borderId="26" xfId="5" applyFont="1" applyBorder="1" applyAlignment="1">
      <alignment horizontal="center" vertical="center"/>
    </xf>
    <xf numFmtId="0" fontId="14" fillId="0" borderId="0" xfId="5" applyFont="1" applyAlignment="1">
      <alignment horizontal="center" vertical="center" wrapText="1"/>
    </xf>
    <xf numFmtId="0" fontId="14" fillId="0" borderId="0" xfId="5" applyFont="1" applyAlignment="1">
      <alignment horizontal="center" vertical="center"/>
    </xf>
    <xf numFmtId="0" fontId="27" fillId="0" borderId="1" xfId="5" applyFont="1" applyBorder="1" applyAlignment="1">
      <alignment vertical="center"/>
    </xf>
    <xf numFmtId="0" fontId="28" fillId="0" borderId="1" xfId="5" applyFont="1" applyBorder="1" applyAlignment="1">
      <alignment horizontal="center" vertical="center"/>
    </xf>
    <xf numFmtId="0" fontId="28" fillId="0" borderId="54" xfId="5" applyFont="1" applyBorder="1" applyAlignment="1">
      <alignment horizontal="center" vertical="center"/>
    </xf>
    <xf numFmtId="0" fontId="27" fillId="0" borderId="56" xfId="5" applyFont="1" applyBorder="1" applyAlignment="1">
      <alignment vertical="center"/>
    </xf>
    <xf numFmtId="0" fontId="28" fillId="0" borderId="56" xfId="5" applyFont="1" applyBorder="1" applyAlignment="1">
      <alignment horizontal="center" vertical="center"/>
    </xf>
    <xf numFmtId="0" fontId="28" fillId="0" borderId="57" xfId="5" applyFont="1" applyBorder="1" applyAlignment="1">
      <alignment horizontal="center" vertical="center"/>
    </xf>
    <xf numFmtId="0" fontId="9" fillId="0" borderId="59" xfId="5" applyFont="1" applyBorder="1" applyAlignment="1">
      <alignment vertical="center"/>
    </xf>
    <xf numFmtId="0" fontId="9" fillId="0" borderId="22" xfId="5" applyFont="1" applyBorder="1" applyAlignment="1">
      <alignment vertical="center"/>
    </xf>
    <xf numFmtId="0" fontId="9" fillId="0" borderId="56" xfId="5" applyFont="1" applyBorder="1" applyAlignment="1">
      <alignment vertical="center"/>
    </xf>
    <xf numFmtId="0" fontId="9" fillId="0" borderId="67" xfId="5" applyFont="1" applyBorder="1" applyAlignment="1">
      <alignment vertical="center"/>
    </xf>
    <xf numFmtId="0" fontId="21" fillId="0" borderId="0" xfId="5" applyFont="1" applyAlignment="1">
      <alignment vertical="center"/>
    </xf>
    <xf numFmtId="0" fontId="30" fillId="0" borderId="0" xfId="5" applyFont="1" applyAlignment="1">
      <alignment vertical="center"/>
    </xf>
    <xf numFmtId="166" fontId="30" fillId="0" borderId="0" xfId="5" applyNumberFormat="1" applyFont="1" applyAlignment="1">
      <alignment horizontal="right" vertical="center"/>
    </xf>
    <xf numFmtId="166" fontId="30" fillId="0" borderId="0" xfId="5" applyNumberFormat="1" applyFont="1" applyAlignment="1">
      <alignment vertical="center"/>
    </xf>
    <xf numFmtId="0" fontId="30" fillId="0" borderId="56" xfId="5" applyFont="1" applyBorder="1" applyAlignment="1">
      <alignment horizontal="center" vertical="center"/>
    </xf>
    <xf numFmtId="0" fontId="30" fillId="0" borderId="71" xfId="5" applyFont="1" applyBorder="1" applyAlignment="1">
      <alignment vertical="center"/>
    </xf>
    <xf numFmtId="0" fontId="30" fillId="0" borderId="4" xfId="5" applyFont="1" applyBorder="1" applyAlignment="1">
      <alignment horizontal="center" vertical="center"/>
    </xf>
    <xf numFmtId="0" fontId="30" fillId="0" borderId="72" xfId="5" applyFont="1" applyBorder="1" applyAlignment="1">
      <alignment horizontal="right" vertical="center"/>
    </xf>
    <xf numFmtId="0" fontId="30" fillId="0" borderId="5" xfId="5" applyFont="1" applyBorder="1" applyAlignment="1">
      <alignment horizontal="center" vertical="center" wrapText="1"/>
    </xf>
    <xf numFmtId="0" fontId="30" fillId="0" borderId="73" xfId="5" applyFont="1" applyBorder="1" applyAlignment="1">
      <alignment horizontal="center" vertical="center" wrapText="1"/>
    </xf>
    <xf numFmtId="166" fontId="31" fillId="0" borderId="20" xfId="5" applyNumberFormat="1" applyFont="1" applyBorder="1" applyAlignment="1">
      <alignment horizontal="center" vertical="center"/>
    </xf>
    <xf numFmtId="166" fontId="30" fillId="0" borderId="24" xfId="5" applyNumberFormat="1" applyFont="1" applyBorder="1" applyAlignment="1">
      <alignment horizontal="center" vertical="center" wrapText="1"/>
    </xf>
    <xf numFmtId="0" fontId="30" fillId="0" borderId="25" xfId="5" applyFont="1" applyBorder="1" applyAlignment="1">
      <alignment horizontal="center" vertical="center" wrapText="1"/>
    </xf>
    <xf numFmtId="0" fontId="30" fillId="0" borderId="74" xfId="5" applyFont="1" applyBorder="1" applyAlignment="1">
      <alignment vertical="center"/>
    </xf>
    <xf numFmtId="0" fontId="31" fillId="0" borderId="26" xfId="5" applyFont="1" applyBorder="1" applyAlignment="1">
      <alignment horizontal="center" vertical="center"/>
    </xf>
    <xf numFmtId="166" fontId="30" fillId="0" borderId="27" xfId="5" applyNumberFormat="1" applyFont="1" applyBorder="1" applyAlignment="1">
      <alignment horizontal="center" vertical="center"/>
    </xf>
    <xf numFmtId="166" fontId="30" fillId="0" borderId="28" xfId="5" applyNumberFormat="1" applyFont="1" applyBorder="1" applyAlignment="1">
      <alignment horizontal="center" vertical="center" wrapText="1"/>
    </xf>
    <xf numFmtId="0" fontId="30" fillId="0" borderId="29" xfId="5" applyFont="1" applyBorder="1" applyAlignment="1">
      <alignment horizontal="center" vertical="center" wrapText="1"/>
    </xf>
    <xf numFmtId="166" fontId="31" fillId="3" borderId="46" xfId="5" applyNumberFormat="1" applyFont="1" applyFill="1" applyBorder="1" applyAlignment="1">
      <alignment horizontal="center" vertical="center"/>
    </xf>
    <xf numFmtId="0" fontId="32" fillId="0" borderId="1" xfId="5" applyFont="1" applyBorder="1" applyAlignment="1">
      <alignment vertical="center"/>
    </xf>
    <xf numFmtId="0" fontId="32" fillId="0" borderId="56" xfId="5" applyFont="1" applyBorder="1" applyAlignment="1">
      <alignment vertical="center"/>
    </xf>
    <xf numFmtId="0" fontId="32" fillId="0" borderId="51" xfId="5" applyFont="1" applyBorder="1" applyAlignment="1">
      <alignment vertical="center"/>
    </xf>
    <xf numFmtId="0" fontId="34" fillId="0" borderId="56" xfId="5" applyFont="1" applyBorder="1" applyAlignment="1">
      <alignment vertical="center"/>
    </xf>
    <xf numFmtId="0" fontId="35" fillId="0" borderId="56" xfId="5" applyFont="1" applyBorder="1" applyAlignment="1">
      <alignment horizontal="center" vertical="center"/>
    </xf>
    <xf numFmtId="0" fontId="35" fillId="0" borderId="57" xfId="5" applyFont="1" applyBorder="1" applyAlignment="1">
      <alignment horizontal="center" vertical="center"/>
    </xf>
    <xf numFmtId="0" fontId="33" fillId="0" borderId="51" xfId="5" applyFont="1" applyBorder="1" applyAlignment="1">
      <alignment vertical="center"/>
    </xf>
    <xf numFmtId="0" fontId="32" fillId="0" borderId="0" xfId="5" applyFont="1" applyAlignment="1">
      <alignment horizontal="center" vertical="center"/>
    </xf>
    <xf numFmtId="0" fontId="32" fillId="0" borderId="0" xfId="5" applyFont="1" applyAlignment="1">
      <alignment vertical="center"/>
    </xf>
    <xf numFmtId="0" fontId="33" fillId="0" borderId="67" xfId="5" applyFont="1" applyBorder="1" applyAlignment="1">
      <alignment vertical="center"/>
    </xf>
    <xf numFmtId="0" fontId="33" fillId="0" borderId="56" xfId="5" applyFont="1" applyBorder="1" applyAlignment="1">
      <alignment vertical="center"/>
    </xf>
    <xf numFmtId="166" fontId="4" fillId="0" borderId="0" xfId="5" applyNumberFormat="1" applyAlignment="1">
      <alignment horizontal="right" vertical="center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vertical="top"/>
    </xf>
    <xf numFmtId="0" fontId="4" fillId="0" borderId="1" xfId="0" applyFont="1" applyBorder="1"/>
    <xf numFmtId="0" fontId="4" fillId="4" borderId="50" xfId="5" applyFill="1" applyBorder="1" applyAlignment="1">
      <alignment horizontal="center" vertical="center"/>
    </xf>
    <xf numFmtId="0" fontId="4" fillId="4" borderId="53" xfId="5" applyFill="1" applyBorder="1" applyAlignment="1">
      <alignment horizontal="center" vertical="center"/>
    </xf>
    <xf numFmtId="0" fontId="4" fillId="0" borderId="53" xfId="5" applyBorder="1" applyAlignment="1">
      <alignment horizontal="center" vertical="center"/>
    </xf>
    <xf numFmtId="0" fontId="4" fillId="0" borderId="81" xfId="5" applyBorder="1" applyAlignment="1">
      <alignment horizontal="center" vertical="center"/>
    </xf>
    <xf numFmtId="0" fontId="4" fillId="0" borderId="82" xfId="5" applyBorder="1" applyAlignment="1">
      <alignment horizontal="center" vertical="center"/>
    </xf>
    <xf numFmtId="0" fontId="4" fillId="0" borderId="20" xfId="5" applyBorder="1" applyAlignment="1">
      <alignment horizontal="center" vertical="center"/>
    </xf>
    <xf numFmtId="0" fontId="4" fillId="0" borderId="50" xfId="5" applyBorder="1" applyAlignment="1">
      <alignment horizontal="center" vertical="center"/>
    </xf>
    <xf numFmtId="0" fontId="4" fillId="0" borderId="55" xfId="5" applyBorder="1" applyAlignment="1">
      <alignment horizontal="center" vertical="center"/>
    </xf>
    <xf numFmtId="0" fontId="4" fillId="4" borderId="55" xfId="5" applyFill="1" applyBorder="1" applyAlignment="1">
      <alignment horizontal="center" vertical="center"/>
    </xf>
    <xf numFmtId="0" fontId="4" fillId="4" borderId="69" xfId="5" applyFill="1" applyBorder="1" applyAlignment="1">
      <alignment horizontal="center" vertical="center"/>
    </xf>
    <xf numFmtId="0" fontId="32" fillId="0" borderId="26" xfId="5" applyFont="1" applyBorder="1" applyAlignment="1">
      <alignment vertical="center"/>
    </xf>
    <xf numFmtId="0" fontId="35" fillId="0" borderId="3" xfId="5" applyFont="1" applyBorder="1" applyAlignment="1">
      <alignment horizontal="center" vertical="center"/>
    </xf>
    <xf numFmtId="0" fontId="32" fillId="0" borderId="22" xfId="5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0" xfId="5" applyFont="1" applyAlignment="1">
      <alignment horizontal="center" vertical="center"/>
    </xf>
    <xf numFmtId="0" fontId="34" fillId="0" borderId="3" xfId="5" applyFont="1" applyBorder="1" applyAlignment="1">
      <alignment vertical="center"/>
    </xf>
    <xf numFmtId="0" fontId="35" fillId="0" borderId="84" xfId="5" applyFont="1" applyBorder="1" applyAlignment="1">
      <alignment horizontal="center" vertical="center"/>
    </xf>
    <xf numFmtId="0" fontId="32" fillId="0" borderId="3" xfId="5" applyFont="1" applyBorder="1" applyAlignment="1">
      <alignment vertical="center"/>
    </xf>
    <xf numFmtId="0" fontId="32" fillId="0" borderId="22" xfId="5" applyFont="1" applyBorder="1" applyAlignment="1">
      <alignment vertical="center"/>
    </xf>
    <xf numFmtId="164" fontId="11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11" fillId="5" borderId="1" xfId="0" applyNumberFormat="1" applyFont="1" applyFill="1" applyBorder="1" applyAlignment="1" applyProtection="1">
      <alignment horizontal="center" vertical="top"/>
      <protection locked="0"/>
    </xf>
    <xf numFmtId="164" fontId="24" fillId="5" borderId="1" xfId="0" applyNumberFormat="1" applyFont="1" applyFill="1" applyBorder="1" applyAlignment="1" applyProtection="1">
      <alignment horizontal="center" vertical="top"/>
      <protection locked="0"/>
    </xf>
    <xf numFmtId="49" fontId="16" fillId="0" borderId="0" xfId="0" applyNumberFormat="1" applyFont="1" applyAlignment="1">
      <alignment horizontal="center"/>
    </xf>
    <xf numFmtId="0" fontId="10" fillId="0" borderId="0" xfId="0" applyFont="1"/>
    <xf numFmtId="49" fontId="21" fillId="0" borderId="0" xfId="0" applyNumberFormat="1" applyFont="1" applyAlignment="1">
      <alignment horizontal="left"/>
    </xf>
    <xf numFmtId="0" fontId="13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3" borderId="7" xfId="0" applyFont="1" applyFill="1" applyBorder="1" applyAlignment="1">
      <alignment vertical="top"/>
    </xf>
    <xf numFmtId="0" fontId="10" fillId="0" borderId="0" xfId="0" applyFont="1" applyAlignment="1">
      <alignment vertical="top"/>
    </xf>
    <xf numFmtId="0" fontId="11" fillId="0" borderId="3" xfId="0" applyFont="1" applyBorder="1" applyAlignment="1">
      <alignment vertical="top"/>
    </xf>
    <xf numFmtId="0" fontId="11" fillId="0" borderId="1" xfId="0" applyFont="1" applyBorder="1" applyAlignment="1">
      <alignment horizontal="center" vertical="top"/>
    </xf>
    <xf numFmtId="164" fontId="24" fillId="2" borderId="1" xfId="0" applyNumberFormat="1" applyFont="1" applyFill="1" applyBorder="1" applyAlignment="1">
      <alignment horizontal="center" vertical="top"/>
    </xf>
    <xf numFmtId="0" fontId="28" fillId="0" borderId="56" xfId="5" applyFont="1" applyBorder="1" applyAlignment="1">
      <alignment vertical="center"/>
    </xf>
    <xf numFmtId="0" fontId="4" fillId="0" borderId="69" xfId="5" applyBorder="1" applyAlignment="1">
      <alignment horizontal="center" vertical="center"/>
    </xf>
    <xf numFmtId="0" fontId="10" fillId="3" borderId="73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/>
    </xf>
    <xf numFmtId="164" fontId="3" fillId="5" borderId="1" xfId="0" applyNumberFormat="1" applyFont="1" applyFill="1" applyBorder="1" applyAlignment="1" applyProtection="1">
      <alignment horizontal="center" vertical="top"/>
      <protection locked="0"/>
    </xf>
    <xf numFmtId="0" fontId="4" fillId="5" borderId="1" xfId="0" applyFont="1" applyFill="1" applyBorder="1" applyProtection="1">
      <protection locked="0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horizontal="center" vertical="top"/>
    </xf>
    <xf numFmtId="0" fontId="37" fillId="0" borderId="0" xfId="0" quotePrefix="1" applyFont="1"/>
    <xf numFmtId="0" fontId="10" fillId="3" borderId="73" xfId="0" applyFont="1" applyFill="1" applyBorder="1" applyAlignment="1">
      <alignment horizontal="center" vertical="top"/>
    </xf>
    <xf numFmtId="0" fontId="10" fillId="3" borderId="3" xfId="0" applyFont="1" applyFill="1" applyBorder="1" applyAlignment="1">
      <alignment horizontal="center" vertical="top" wrapText="1"/>
    </xf>
    <xf numFmtId="0" fontId="10" fillId="3" borderId="90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0" xfId="0" applyFont="1"/>
    <xf numFmtId="164" fontId="4" fillId="0" borderId="0" xfId="0" applyNumberFormat="1" applyFont="1"/>
    <xf numFmtId="0" fontId="3" fillId="5" borderId="1" xfId="0" applyFont="1" applyFill="1" applyBorder="1" applyAlignment="1" applyProtection="1">
      <alignment vertical="top"/>
      <protection locked="0"/>
    </xf>
    <xf numFmtId="0" fontId="31" fillId="0" borderId="0" xfId="5" applyFont="1" applyAlignment="1">
      <alignment horizontal="center" vertical="center"/>
    </xf>
    <xf numFmtId="0" fontId="43" fillId="0" borderId="0" xfId="0" applyFont="1"/>
    <xf numFmtId="0" fontId="24" fillId="0" borderId="1" xfId="0" applyFont="1" applyBorder="1" applyAlignment="1">
      <alignment horizontal="center" vertical="top" wrapText="1"/>
    </xf>
    <xf numFmtId="0" fontId="24" fillId="0" borderId="1" xfId="0" applyFont="1" applyBorder="1" applyAlignment="1">
      <alignment vertical="top"/>
    </xf>
    <xf numFmtId="0" fontId="24" fillId="0" borderId="1" xfId="0" applyFont="1" applyBorder="1" applyAlignment="1">
      <alignment horizontal="center" vertical="top"/>
    </xf>
    <xf numFmtId="164" fontId="24" fillId="5" borderId="1" xfId="0" applyNumberFormat="1" applyFont="1" applyFill="1" applyBorder="1" applyAlignment="1" applyProtection="1">
      <alignment horizontal="center" vertical="top" wrapText="1"/>
      <protection locked="0"/>
    </xf>
    <xf numFmtId="49" fontId="39" fillId="0" borderId="0" xfId="0" applyNumberFormat="1" applyFont="1" applyAlignment="1">
      <alignment horizontal="left"/>
    </xf>
    <xf numFmtId="49" fontId="40" fillId="0" borderId="0" xfId="0" applyNumberFormat="1" applyFont="1" applyAlignment="1">
      <alignment horizontal="left"/>
    </xf>
    <xf numFmtId="49" fontId="4" fillId="0" borderId="0" xfId="0" applyNumberFormat="1" applyFont="1"/>
    <xf numFmtId="0" fontId="40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 vertical="top" wrapText="1"/>
    </xf>
    <xf numFmtId="164" fontId="24" fillId="2" borderId="1" xfId="0" applyNumberFormat="1" applyFont="1" applyFill="1" applyBorder="1" applyAlignment="1">
      <alignment horizontal="center" vertical="top" wrapText="1"/>
    </xf>
    <xf numFmtId="0" fontId="24" fillId="0" borderId="4" xfId="0" applyFont="1" applyBorder="1" applyAlignment="1">
      <alignment horizontal="center" vertical="center" wrapText="1"/>
    </xf>
    <xf numFmtId="0" fontId="4" fillId="0" borderId="19" xfId="0" applyFont="1" applyBorder="1"/>
    <xf numFmtId="0" fontId="40" fillId="0" borderId="0" xfId="0" applyFont="1"/>
    <xf numFmtId="0" fontId="19" fillId="3" borderId="1" xfId="0" applyFont="1" applyFill="1" applyBorder="1" applyAlignment="1">
      <alignment horizontal="center" vertical="top"/>
    </xf>
    <xf numFmtId="0" fontId="19" fillId="3" borderId="7" xfId="0" applyFont="1" applyFill="1" applyBorder="1" applyAlignment="1">
      <alignment vertical="top" wrapText="1"/>
    </xf>
    <xf numFmtId="0" fontId="19" fillId="0" borderId="0" xfId="0" applyFont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4" fillId="3" borderId="7" xfId="0" applyFont="1" applyFill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24" fillId="0" borderId="0" xfId="0" applyFont="1" applyAlignment="1">
      <alignment horizontal="center" vertical="top" wrapText="1"/>
    </xf>
    <xf numFmtId="49" fontId="4" fillId="3" borderId="8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24" fillId="0" borderId="0" xfId="0" applyFont="1" applyAlignment="1">
      <alignment vertical="top"/>
    </xf>
    <xf numFmtId="0" fontId="14" fillId="0" borderId="0" xfId="0" applyFont="1"/>
    <xf numFmtId="0" fontId="4" fillId="0" borderId="1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49" fontId="4" fillId="0" borderId="0" xfId="2" applyNumberFormat="1" applyAlignment="1">
      <alignment horizontal="center"/>
    </xf>
    <xf numFmtId="0" fontId="41" fillId="0" borderId="0" xfId="2" applyFont="1"/>
    <xf numFmtId="0" fontId="41" fillId="0" borderId="0" xfId="2" applyFont="1" applyAlignment="1">
      <alignment horizontal="center"/>
    </xf>
    <xf numFmtId="0" fontId="4" fillId="0" borderId="0" xfId="2"/>
    <xf numFmtId="49" fontId="21" fillId="0" borderId="0" xfId="2" applyNumberFormat="1" applyFont="1" applyAlignment="1">
      <alignment horizontal="left"/>
    </xf>
    <xf numFmtId="0" fontId="12" fillId="0" borderId="0" xfId="2" applyFont="1"/>
    <xf numFmtId="0" fontId="12" fillId="0" borderId="0" xfId="2" applyFont="1" applyAlignment="1">
      <alignment horizontal="center"/>
    </xf>
    <xf numFmtId="0" fontId="42" fillId="0" borderId="0" xfId="2" applyFont="1"/>
    <xf numFmtId="0" fontId="42" fillId="0" borderId="0" xfId="2" applyFont="1" applyAlignment="1">
      <alignment horizontal="center"/>
    </xf>
    <xf numFmtId="0" fontId="4" fillId="0" borderId="0" xfId="2" applyAlignment="1">
      <alignment horizontal="center"/>
    </xf>
    <xf numFmtId="49" fontId="14" fillId="3" borderId="8" xfId="2" applyNumberFormat="1" applyFont="1" applyFill="1" applyBorder="1" applyAlignment="1">
      <alignment horizontal="center" vertical="center"/>
    </xf>
    <xf numFmtId="0" fontId="14" fillId="3" borderId="7" xfId="2" applyFont="1" applyFill="1" applyBorder="1" applyAlignment="1">
      <alignment vertical="center"/>
    </xf>
    <xf numFmtId="0" fontId="4" fillId="0" borderId="0" xfId="2" applyAlignment="1">
      <alignment horizontal="center" vertical="center"/>
    </xf>
    <xf numFmtId="0" fontId="4" fillId="0" borderId="0" xfId="2" applyAlignment="1">
      <alignment vertical="center"/>
    </xf>
    <xf numFmtId="49" fontId="4" fillId="0" borderId="3" xfId="2" applyNumberFormat="1" applyBorder="1" applyAlignment="1">
      <alignment horizontal="center" vertical="center"/>
    </xf>
    <xf numFmtId="0" fontId="4" fillId="0" borderId="3" xfId="2" applyBorder="1" applyAlignment="1">
      <alignment vertical="center"/>
    </xf>
    <xf numFmtId="0" fontId="4" fillId="0" borderId="1" xfId="2" applyBorder="1" applyAlignment="1">
      <alignment horizontal="center" vertical="center"/>
    </xf>
    <xf numFmtId="0" fontId="4" fillId="0" borderId="1" xfId="2" applyBorder="1" applyAlignment="1">
      <alignment horizontal="center"/>
    </xf>
    <xf numFmtId="0" fontId="4" fillId="0" borderId="1" xfId="2" applyBorder="1"/>
    <xf numFmtId="0" fontId="4" fillId="0" borderId="1" xfId="2" applyBorder="1" applyAlignment="1">
      <alignment vertical="center"/>
    </xf>
    <xf numFmtId="49" fontId="14" fillId="3" borderId="8" xfId="2" applyNumberFormat="1" applyFont="1" applyFill="1" applyBorder="1" applyAlignment="1">
      <alignment horizontal="center"/>
    </xf>
    <xf numFmtId="49" fontId="4" fillId="0" borderId="1" xfId="2" applyNumberFormat="1" applyBorder="1" applyAlignment="1">
      <alignment horizontal="center"/>
    </xf>
    <xf numFmtId="0" fontId="4" fillId="6" borderId="1" xfId="2" applyFill="1" applyBorder="1" applyAlignment="1">
      <alignment horizontal="center" vertical="center"/>
    </xf>
    <xf numFmtId="49" fontId="14" fillId="3" borderId="15" xfId="2" applyNumberFormat="1" applyFont="1" applyFill="1" applyBorder="1" applyAlignment="1">
      <alignment horizontal="center" vertical="center"/>
    </xf>
    <xf numFmtId="0" fontId="9" fillId="3" borderId="15" xfId="2" applyFont="1" applyFill="1" applyBorder="1" applyAlignment="1">
      <alignment horizontal="left" vertical="center"/>
    </xf>
    <xf numFmtId="49" fontId="4" fillId="4" borderId="15" xfId="2" applyNumberFormat="1" applyFill="1" applyBorder="1" applyAlignment="1">
      <alignment horizontal="center" vertical="center"/>
    </xf>
    <xf numFmtId="0" fontId="4" fillId="0" borderId="91" xfId="2" applyBorder="1" applyAlignment="1">
      <alignment horizontal="left" vertical="center"/>
    </xf>
    <xf numFmtId="164" fontId="4" fillId="2" borderId="1" xfId="2" applyNumberFormat="1" applyFill="1" applyBorder="1" applyAlignment="1">
      <alignment horizontal="center"/>
    </xf>
    <xf numFmtId="49" fontId="14" fillId="3" borderId="5" xfId="2" applyNumberFormat="1" applyFont="1" applyFill="1" applyBorder="1" applyAlignment="1">
      <alignment horizontal="center"/>
    </xf>
    <xf numFmtId="0" fontId="14" fillId="3" borderId="73" xfId="2" applyFont="1" applyFill="1" applyBorder="1" applyAlignment="1">
      <alignment vertical="center"/>
    </xf>
    <xf numFmtId="0" fontId="4" fillId="0" borderId="7" xfId="2" applyBorder="1" applyAlignment="1">
      <alignment vertical="center"/>
    </xf>
    <xf numFmtId="0" fontId="4" fillId="0" borderId="7" xfId="2" applyBorder="1" applyAlignment="1">
      <alignment horizontal="left" vertical="center"/>
    </xf>
    <xf numFmtId="49" fontId="4" fillId="0" borderId="0" xfId="2" applyNumberFormat="1"/>
    <xf numFmtId="49" fontId="4" fillId="0" borderId="15" xfId="2" applyNumberFormat="1" applyBorder="1" applyAlignment="1">
      <alignment horizontal="center" vertical="center"/>
    </xf>
    <xf numFmtId="0" fontId="4" fillId="0" borderId="15" xfId="2" applyBorder="1" applyAlignment="1">
      <alignment horizontal="center" vertical="center"/>
    </xf>
    <xf numFmtId="0" fontId="4" fillId="0" borderId="15" xfId="2" applyBorder="1" applyAlignment="1">
      <alignment horizontal="left" vertical="center"/>
    </xf>
    <xf numFmtId="0" fontId="37" fillId="0" borderId="0" xfId="0" applyFont="1"/>
    <xf numFmtId="166" fontId="4" fillId="0" borderId="0" xfId="5" applyNumberFormat="1" applyAlignment="1">
      <alignment vertical="center"/>
    </xf>
    <xf numFmtId="0" fontId="4" fillId="0" borderId="0" xfId="5" applyAlignment="1">
      <alignment vertical="center"/>
    </xf>
    <xf numFmtId="0" fontId="4" fillId="0" borderId="0" xfId="5" applyAlignment="1">
      <alignment horizontal="center" vertical="center"/>
    </xf>
    <xf numFmtId="0" fontId="30" fillId="0" borderId="0" xfId="5" applyFont="1" applyAlignment="1">
      <alignment horizontal="center" vertical="center"/>
    </xf>
    <xf numFmtId="166" fontId="30" fillId="0" borderId="0" xfId="5" applyNumberFormat="1" applyFont="1" applyAlignment="1">
      <alignment horizontal="center" vertical="center"/>
    </xf>
    <xf numFmtId="0" fontId="45" fillId="0" borderId="0" xfId="2" applyFont="1"/>
    <xf numFmtId="0" fontId="19" fillId="0" borderId="1" xfId="0" applyFont="1" applyBorder="1" applyAlignment="1">
      <alignment vertical="top"/>
    </xf>
    <xf numFmtId="164" fontId="24" fillId="5" borderId="1" xfId="0" applyNumberFormat="1" applyFont="1" applyFill="1" applyBorder="1" applyAlignment="1">
      <alignment horizontal="center" vertical="top"/>
    </xf>
    <xf numFmtId="164" fontId="19" fillId="2" borderId="1" xfId="0" applyNumberFormat="1" applyFont="1" applyFill="1" applyBorder="1" applyAlignment="1">
      <alignment horizontal="center" vertical="top"/>
    </xf>
    <xf numFmtId="0" fontId="49" fillId="0" borderId="0" xfId="0" applyFont="1"/>
    <xf numFmtId="0" fontId="14" fillId="0" borderId="1" xfId="0" applyFont="1" applyBorder="1"/>
    <xf numFmtId="0" fontId="50" fillId="0" borderId="1" xfId="0" applyFont="1" applyBorder="1"/>
    <xf numFmtId="0" fontId="28" fillId="0" borderId="1" xfId="0" applyFont="1" applyBorder="1"/>
    <xf numFmtId="167" fontId="28" fillId="2" borderId="1" xfId="6" applyNumberFormat="1" applyFont="1" applyFill="1" applyBorder="1"/>
    <xf numFmtId="0" fontId="28" fillId="2" borderId="1" xfId="0" applyFont="1" applyFill="1" applyBorder="1"/>
    <xf numFmtId="0" fontId="4" fillId="0" borderId="3" xfId="0" applyFont="1" applyBorder="1"/>
    <xf numFmtId="0" fontId="19" fillId="3" borderId="73" xfId="0" applyFont="1" applyFill="1" applyBorder="1" applyAlignment="1">
      <alignment vertical="top" wrapText="1"/>
    </xf>
    <xf numFmtId="165" fontId="24" fillId="2" borderId="1" xfId="0" applyNumberFormat="1" applyFont="1" applyFill="1" applyBorder="1" applyAlignment="1" applyProtection="1">
      <alignment horizontal="center" vertical="top"/>
      <protection locked="0"/>
    </xf>
    <xf numFmtId="165" fontId="19" fillId="2" borderId="1" xfId="0" applyNumberFormat="1" applyFont="1" applyFill="1" applyBorder="1" applyAlignment="1" applyProtection="1">
      <alignment horizontal="center" vertical="top"/>
      <protection locked="0"/>
    </xf>
    <xf numFmtId="165" fontId="24" fillId="0" borderId="71" xfId="0" applyNumberFormat="1" applyFont="1" applyBorder="1" applyAlignment="1" applyProtection="1">
      <alignment horizontal="center" vertical="top"/>
      <protection locked="0"/>
    </xf>
    <xf numFmtId="165" fontId="24" fillId="0" borderId="17" xfId="0" applyNumberFormat="1" applyFont="1" applyBorder="1" applyAlignment="1" applyProtection="1">
      <alignment horizontal="center" vertical="top"/>
      <protection locked="0"/>
    </xf>
    <xf numFmtId="49" fontId="4" fillId="3" borderId="5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24" fillId="6" borderId="1" xfId="0" applyFont="1" applyFill="1" applyBorder="1" applyAlignment="1">
      <alignment vertical="top"/>
    </xf>
    <xf numFmtId="49" fontId="47" fillId="0" borderId="0" xfId="0" applyNumberFormat="1" applyFont="1"/>
    <xf numFmtId="0" fontId="47" fillId="0" borderId="0" xfId="0" applyFont="1"/>
    <xf numFmtId="0" fontId="46" fillId="0" borderId="0" xfId="0" applyFont="1"/>
    <xf numFmtId="164" fontId="46" fillId="0" borderId="0" xfId="0" applyNumberFormat="1" applyFont="1"/>
    <xf numFmtId="0" fontId="47" fillId="0" borderId="0" xfId="0" quotePrefix="1" applyFont="1"/>
    <xf numFmtId="164" fontId="47" fillId="0" borderId="0" xfId="0" applyNumberFormat="1" applyFont="1"/>
    <xf numFmtId="49" fontId="43" fillId="0" borderId="0" xfId="0" applyNumberFormat="1" applyFont="1" applyAlignment="1">
      <alignment horizontal="center"/>
    </xf>
    <xf numFmtId="0" fontId="4" fillId="0" borderId="0" xfId="0" quotePrefix="1" applyFont="1" applyAlignment="1">
      <alignment horizontal="left"/>
    </xf>
    <xf numFmtId="0" fontId="51" fillId="0" borderId="0" xfId="0" applyFont="1" applyAlignment="1">
      <alignment horizontal="right"/>
    </xf>
    <xf numFmtId="0" fontId="51" fillId="0" borderId="0" xfId="0" applyFont="1" applyAlignment="1">
      <alignment horizontal="center"/>
    </xf>
    <xf numFmtId="0" fontId="51" fillId="0" borderId="0" xfId="0" applyFont="1"/>
    <xf numFmtId="164" fontId="51" fillId="0" borderId="0" xfId="0" applyNumberFormat="1" applyFont="1"/>
    <xf numFmtId="164" fontId="4" fillId="5" borderId="1" xfId="0" applyNumberFormat="1" applyFont="1" applyFill="1" applyBorder="1" applyAlignment="1" applyProtection="1">
      <alignment horizontal="center"/>
      <protection locked="0"/>
    </xf>
    <xf numFmtId="165" fontId="4" fillId="5" borderId="1" xfId="0" applyNumberFormat="1" applyFont="1" applyFill="1" applyBorder="1" applyAlignment="1" applyProtection="1">
      <alignment horizontal="center"/>
      <protection locked="0"/>
    </xf>
    <xf numFmtId="164" fontId="4" fillId="5" borderId="3" xfId="0" applyNumberFormat="1" applyFont="1" applyFill="1" applyBorder="1" applyAlignment="1" applyProtection="1">
      <alignment horizontal="center"/>
      <protection locked="0"/>
    </xf>
    <xf numFmtId="0" fontId="52" fillId="0" borderId="0" xfId="0" applyFont="1"/>
    <xf numFmtId="0" fontId="28" fillId="0" borderId="0" xfId="0" applyFont="1"/>
    <xf numFmtId="164" fontId="28" fillId="0" borderId="0" xfId="0" applyNumberFormat="1" applyFont="1"/>
    <xf numFmtId="49" fontId="53" fillId="0" borderId="1" xfId="0" applyNumberFormat="1" applyFont="1" applyBorder="1" applyAlignment="1">
      <alignment horizontal="center"/>
    </xf>
    <xf numFmtId="0" fontId="51" fillId="0" borderId="0" xfId="0" applyFont="1" applyAlignment="1">
      <alignment horizontal="left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4" fillId="0" borderId="1" xfId="0" quotePrefix="1" applyNumberFormat="1" applyFont="1" applyBorder="1" applyAlignment="1">
      <alignment horizontal="center"/>
    </xf>
    <xf numFmtId="0" fontId="19" fillId="3" borderId="4" xfId="0" quotePrefix="1" applyFont="1" applyFill="1" applyBorder="1" applyAlignment="1">
      <alignment horizontal="center" vertical="top" wrapText="1"/>
    </xf>
    <xf numFmtId="0" fontId="19" fillId="3" borderId="3" xfId="0" quotePrefix="1" applyFont="1" applyFill="1" applyBorder="1" applyAlignment="1">
      <alignment horizontal="center" vertical="top" wrapText="1"/>
    </xf>
    <xf numFmtId="0" fontId="14" fillId="3" borderId="4" xfId="0" applyFont="1" applyFill="1" applyBorder="1" applyAlignment="1">
      <alignment horizontal="center" vertical="top"/>
    </xf>
    <xf numFmtId="0" fontId="14" fillId="3" borderId="18" xfId="0" applyFont="1" applyFill="1" applyBorder="1" applyAlignment="1">
      <alignment horizontal="center"/>
    </xf>
    <xf numFmtId="0" fontId="19" fillId="3" borderId="3" xfId="0" applyFont="1" applyFill="1" applyBorder="1" applyAlignment="1">
      <alignment horizontal="center" vertical="top" wrapText="1"/>
    </xf>
    <xf numFmtId="0" fontId="14" fillId="0" borderId="0" xfId="5" applyFont="1" applyAlignment="1">
      <alignment vertical="center"/>
    </xf>
    <xf numFmtId="0" fontId="41" fillId="0" borderId="0" xfId="5" applyFont="1" applyAlignment="1">
      <alignment vertical="center"/>
    </xf>
    <xf numFmtId="0" fontId="14" fillId="0" borderId="0" xfId="5" applyFont="1" applyAlignment="1">
      <alignment horizontal="left" vertical="center"/>
    </xf>
    <xf numFmtId="0" fontId="4" fillId="0" borderId="16" xfId="5" applyBorder="1" applyAlignment="1">
      <alignment horizontal="center" vertical="center"/>
    </xf>
    <xf numFmtId="0" fontId="4" fillId="0" borderId="17" xfId="5" applyBorder="1" applyAlignment="1">
      <alignment vertical="center"/>
    </xf>
    <xf numFmtId="0" fontId="4" fillId="0" borderId="18" xfId="5" applyBorder="1" applyAlignment="1">
      <alignment horizontal="center" vertical="center"/>
    </xf>
    <xf numFmtId="0" fontId="4" fillId="0" borderId="17" xfId="5" applyBorder="1" applyAlignment="1">
      <alignment horizontal="center" vertical="center"/>
    </xf>
    <xf numFmtId="0" fontId="4" fillId="0" borderId="19" xfId="5" applyBorder="1" applyAlignment="1">
      <alignment horizontal="center" vertical="center" wrapText="1"/>
    </xf>
    <xf numFmtId="0" fontId="4" fillId="0" borderId="2" xfId="5" applyBorder="1" applyAlignment="1">
      <alignment horizontal="center" vertical="center" wrapText="1"/>
    </xf>
    <xf numFmtId="166" fontId="4" fillId="0" borderId="21" xfId="5" applyNumberFormat="1" applyBorder="1" applyAlignment="1">
      <alignment horizontal="center" vertical="center"/>
    </xf>
    <xf numFmtId="166" fontId="4" fillId="0" borderId="22" xfId="5" applyNumberFormat="1" applyBorder="1" applyAlignment="1">
      <alignment vertical="center"/>
    </xf>
    <xf numFmtId="166" fontId="14" fillId="0" borderId="22" xfId="5" applyNumberFormat="1" applyFont="1" applyBorder="1" applyAlignment="1">
      <alignment horizontal="center" vertical="center"/>
    </xf>
    <xf numFmtId="166" fontId="4" fillId="0" borderId="22" xfId="5" applyNumberFormat="1" applyBorder="1" applyAlignment="1">
      <alignment horizontal="center" vertical="center"/>
    </xf>
    <xf numFmtId="0" fontId="4" fillId="0" borderId="22" xfId="5" applyBorder="1" applyAlignment="1">
      <alignment horizontal="center" vertical="center"/>
    </xf>
    <xf numFmtId="166" fontId="4" fillId="0" borderId="23" xfId="5" applyNumberFormat="1" applyBorder="1" applyAlignment="1">
      <alignment horizontal="center" vertical="center"/>
    </xf>
    <xf numFmtId="166" fontId="4" fillId="0" borderId="24" xfId="5" applyNumberFormat="1" applyBorder="1" applyAlignment="1">
      <alignment horizontal="center" vertical="center" wrapText="1"/>
    </xf>
    <xf numFmtId="0" fontId="4" fillId="0" borderId="25" xfId="5" applyBorder="1" applyAlignment="1">
      <alignment horizontal="center" vertical="center" wrapText="1"/>
    </xf>
    <xf numFmtId="0" fontId="4" fillId="0" borderId="26" xfId="5" applyBorder="1" applyAlignment="1">
      <alignment vertical="center"/>
    </xf>
    <xf numFmtId="166" fontId="4" fillId="0" borderId="46" xfId="5" applyNumberFormat="1" applyBorder="1" applyAlignment="1">
      <alignment horizontal="center" vertical="center"/>
    </xf>
    <xf numFmtId="166" fontId="4" fillId="0" borderId="27" xfId="5" applyNumberFormat="1" applyBorder="1" applyAlignment="1">
      <alignment horizontal="center" vertical="center"/>
    </xf>
    <xf numFmtId="166" fontId="4" fillId="0" borderId="20" xfId="5" applyNumberFormat="1" applyBorder="1" applyAlignment="1">
      <alignment horizontal="center" vertical="center"/>
    </xf>
    <xf numFmtId="166" fontId="4" fillId="0" borderId="28" xfId="5" applyNumberFormat="1" applyBorder="1" applyAlignment="1">
      <alignment horizontal="center" vertical="center" wrapText="1"/>
    </xf>
    <xf numFmtId="0" fontId="4" fillId="0" borderId="29" xfId="5" applyBorder="1" applyAlignment="1">
      <alignment horizontal="center" vertical="center" wrapText="1"/>
    </xf>
    <xf numFmtId="0" fontId="14" fillId="3" borderId="30" xfId="5" applyFont="1" applyFill="1" applyBorder="1" applyAlignment="1">
      <alignment horizontal="center" vertical="center"/>
    </xf>
    <xf numFmtId="0" fontId="14" fillId="3" borderId="31" xfId="5" applyFont="1" applyFill="1" applyBorder="1" applyAlignment="1">
      <alignment horizontal="left" vertical="center"/>
    </xf>
    <xf numFmtId="0" fontId="14" fillId="3" borderId="32" xfId="5" applyFont="1" applyFill="1" applyBorder="1" applyAlignment="1">
      <alignment horizontal="center" vertical="center"/>
    </xf>
    <xf numFmtId="166" fontId="14" fillId="3" borderId="21" xfId="5" applyNumberFormat="1" applyFont="1" applyFill="1" applyBorder="1" applyAlignment="1">
      <alignment vertical="center"/>
    </xf>
    <xf numFmtId="166" fontId="14" fillId="3" borderId="22" xfId="5" applyNumberFormat="1" applyFont="1" applyFill="1" applyBorder="1" applyAlignment="1">
      <alignment vertical="center"/>
    </xf>
    <xf numFmtId="166" fontId="4" fillId="3" borderId="23" xfId="5" applyNumberFormat="1" applyFill="1" applyBorder="1" applyAlignment="1">
      <alignment vertical="center"/>
    </xf>
    <xf numFmtId="166" fontId="14" fillId="3" borderId="24" xfId="5" applyNumberFormat="1" applyFont="1" applyFill="1" applyBorder="1" applyAlignment="1">
      <alignment horizontal="center" vertical="center" wrapText="1"/>
    </xf>
    <xf numFmtId="0" fontId="4" fillId="3" borderId="25" xfId="5" applyFill="1" applyBorder="1" applyAlignment="1">
      <alignment horizontal="center" vertical="center" wrapText="1"/>
    </xf>
    <xf numFmtId="0" fontId="14" fillId="3" borderId="35" xfId="5" applyFont="1" applyFill="1" applyBorder="1" applyAlignment="1">
      <alignment horizontal="center" vertical="center"/>
    </xf>
    <xf numFmtId="0" fontId="14" fillId="3" borderId="0" xfId="5" applyFont="1" applyFill="1" applyAlignment="1">
      <alignment vertical="center"/>
    </xf>
    <xf numFmtId="0" fontId="14" fillId="3" borderId="36" xfId="5" applyFont="1" applyFill="1" applyBorder="1" applyAlignment="1">
      <alignment horizontal="center" vertical="center"/>
    </xf>
    <xf numFmtId="0" fontId="14" fillId="3" borderId="29" xfId="5" applyFont="1" applyFill="1" applyBorder="1" applyAlignment="1">
      <alignment horizontal="center" vertical="center"/>
    </xf>
    <xf numFmtId="166" fontId="14" fillId="3" borderId="37" xfId="5" applyNumberFormat="1" applyFont="1" applyFill="1" applyBorder="1" applyAlignment="1">
      <alignment horizontal="center" vertical="center" wrapText="1"/>
    </xf>
    <xf numFmtId="166" fontId="14" fillId="3" borderId="4" xfId="5" applyNumberFormat="1" applyFont="1" applyFill="1" applyBorder="1" applyAlignment="1">
      <alignment horizontal="center" vertical="center" wrapText="1"/>
    </xf>
    <xf numFmtId="166" fontId="14" fillId="3" borderId="38" xfId="5" applyNumberFormat="1" applyFont="1" applyFill="1" applyBorder="1" applyAlignment="1">
      <alignment horizontal="center" vertical="center" wrapText="1"/>
    </xf>
    <xf numFmtId="166" fontId="14" fillId="3" borderId="34" xfId="5" applyNumberFormat="1" applyFont="1" applyFill="1" applyBorder="1" applyAlignment="1">
      <alignment horizontal="center" vertical="center" wrapText="1"/>
    </xf>
    <xf numFmtId="166" fontId="14" fillId="3" borderId="39" xfId="5" applyNumberFormat="1" applyFont="1" applyFill="1" applyBorder="1" applyAlignment="1">
      <alignment horizontal="center" vertical="center" wrapText="1"/>
    </xf>
    <xf numFmtId="166" fontId="14" fillId="3" borderId="40" xfId="5" applyNumberFormat="1" applyFont="1" applyFill="1" applyBorder="1" applyAlignment="1">
      <alignment horizontal="center" vertical="center" wrapText="1"/>
    </xf>
    <xf numFmtId="166" fontId="14" fillId="3" borderId="41" xfId="5" applyNumberFormat="1" applyFont="1" applyFill="1" applyBorder="1" applyAlignment="1">
      <alignment horizontal="center" vertical="center"/>
    </xf>
    <xf numFmtId="166" fontId="14" fillId="3" borderId="28" xfId="5" applyNumberFormat="1" applyFont="1" applyFill="1" applyBorder="1" applyAlignment="1">
      <alignment horizontal="center" vertical="center" wrapText="1"/>
    </xf>
    <xf numFmtId="0" fontId="4" fillId="3" borderId="29" xfId="5" applyFill="1" applyBorder="1" applyAlignment="1">
      <alignment horizontal="center" vertical="center" wrapText="1"/>
    </xf>
    <xf numFmtId="0" fontId="14" fillId="3" borderId="42" xfId="5" applyFont="1" applyFill="1" applyBorder="1" applyAlignment="1">
      <alignment horizontal="center" vertical="center"/>
    </xf>
    <xf numFmtId="0" fontId="14" fillId="3" borderId="26" xfId="5" applyFont="1" applyFill="1" applyBorder="1" applyAlignment="1">
      <alignment horizontal="center" vertical="center"/>
    </xf>
    <xf numFmtId="0" fontId="14" fillId="3" borderId="43" xfId="5" applyFont="1" applyFill="1" applyBorder="1" applyAlignment="1">
      <alignment horizontal="center" vertical="center"/>
    </xf>
    <xf numFmtId="0" fontId="14" fillId="3" borderId="27" xfId="5" applyFont="1" applyFill="1" applyBorder="1" applyAlignment="1">
      <alignment horizontal="center" vertical="center"/>
    </xf>
    <xf numFmtId="166" fontId="14" fillId="3" borderId="44" xfId="5" applyNumberFormat="1" applyFont="1" applyFill="1" applyBorder="1" applyAlignment="1">
      <alignment horizontal="center" vertical="center"/>
    </xf>
    <xf numFmtId="166" fontId="14" fillId="3" borderId="16" xfId="5" applyNumberFormat="1" applyFont="1" applyFill="1" applyBorder="1" applyAlignment="1">
      <alignment horizontal="center" vertical="center"/>
    </xf>
    <xf numFmtId="166" fontId="14" fillId="3" borderId="45" xfId="5" applyNumberFormat="1" applyFont="1" applyFill="1" applyBorder="1" applyAlignment="1">
      <alignment horizontal="center" vertical="center"/>
    </xf>
    <xf numFmtId="166" fontId="14" fillId="3" borderId="47" xfId="5" applyNumberFormat="1" applyFont="1" applyFill="1" applyBorder="1" applyAlignment="1">
      <alignment horizontal="center" vertical="center"/>
    </xf>
    <xf numFmtId="166" fontId="14" fillId="3" borderId="48" xfId="5" applyNumberFormat="1" applyFont="1" applyFill="1" applyBorder="1" applyAlignment="1">
      <alignment horizontal="center" vertical="center"/>
    </xf>
    <xf numFmtId="0" fontId="14" fillId="3" borderId="49" xfId="5" applyFont="1" applyFill="1" applyBorder="1" applyAlignment="1">
      <alignment horizontal="center" vertical="center"/>
    </xf>
    <xf numFmtId="0" fontId="4" fillId="0" borderId="19" xfId="5" applyBorder="1" applyAlignment="1">
      <alignment vertical="center"/>
    </xf>
    <xf numFmtId="0" fontId="4" fillId="0" borderId="0" xfId="5" applyAlignment="1">
      <alignment horizontal="left" vertical="center"/>
    </xf>
    <xf numFmtId="0" fontId="4" fillId="3" borderId="24" xfId="5" applyFill="1" applyBorder="1" applyAlignment="1">
      <alignment vertical="center"/>
    </xf>
    <xf numFmtId="0" fontId="14" fillId="3" borderId="31" xfId="5" applyFont="1" applyFill="1" applyBorder="1" applyAlignment="1">
      <alignment vertical="center"/>
    </xf>
    <xf numFmtId="0" fontId="14" fillId="3" borderId="25" xfId="5" applyFont="1" applyFill="1" applyBorder="1" applyAlignment="1">
      <alignment vertical="center"/>
    </xf>
    <xf numFmtId="166" fontId="4" fillId="0" borderId="0" xfId="5" applyNumberFormat="1" applyAlignment="1">
      <alignment horizontal="center" vertical="center"/>
    </xf>
    <xf numFmtId="0" fontId="3" fillId="0" borderId="51" xfId="5" applyFont="1" applyBorder="1" applyAlignment="1">
      <alignment vertical="center"/>
    </xf>
    <xf numFmtId="0" fontId="4" fillId="0" borderId="51" xfId="5" applyBorder="1" applyAlignment="1">
      <alignment horizontal="center" vertical="center"/>
    </xf>
    <xf numFmtId="0" fontId="4" fillId="0" borderId="52" xfId="5" applyBorder="1" applyAlignment="1">
      <alignment horizontal="center" vertical="center"/>
    </xf>
    <xf numFmtId="0" fontId="3" fillId="0" borderId="1" xfId="5" applyFont="1" applyBorder="1" applyAlignment="1">
      <alignment vertical="center"/>
    </xf>
    <xf numFmtId="0" fontId="4" fillId="0" borderId="1" xfId="5" applyBorder="1" applyAlignment="1">
      <alignment horizontal="center" vertical="center"/>
    </xf>
    <xf numFmtId="0" fontId="4" fillId="0" borderId="54" xfId="5" applyBorder="1" applyAlignment="1">
      <alignment horizontal="center" vertical="center"/>
    </xf>
    <xf numFmtId="0" fontId="3" fillId="0" borderId="56" xfId="5" applyFont="1" applyBorder="1" applyAlignment="1">
      <alignment vertical="center"/>
    </xf>
    <xf numFmtId="0" fontId="4" fillId="0" borderId="56" xfId="5" applyBorder="1" applyAlignment="1">
      <alignment horizontal="center" vertical="center"/>
    </xf>
    <xf numFmtId="0" fontId="4" fillId="0" borderId="57" xfId="5" applyBorder="1" applyAlignment="1">
      <alignment horizontal="center" vertical="center"/>
    </xf>
    <xf numFmtId="0" fontId="4" fillId="0" borderId="1" xfId="5" applyBorder="1" applyAlignment="1">
      <alignment vertical="center"/>
    </xf>
    <xf numFmtId="0" fontId="4" fillId="0" borderId="58" xfId="5" applyBorder="1" applyAlignment="1">
      <alignment horizontal="center" vertical="center"/>
    </xf>
    <xf numFmtId="0" fontId="3" fillId="0" borderId="0" xfId="5" applyFont="1" applyAlignment="1">
      <alignment vertical="center"/>
    </xf>
    <xf numFmtId="0" fontId="3" fillId="0" borderId="60" xfId="5" applyFont="1" applyBorder="1" applyAlignment="1">
      <alignment vertical="center"/>
    </xf>
    <xf numFmtId="0" fontId="4" fillId="0" borderId="48" xfId="5" applyBorder="1" applyAlignment="1">
      <alignment horizontal="center" vertical="center"/>
    </xf>
    <xf numFmtId="0" fontId="3" fillId="0" borderId="22" xfId="5" applyFont="1" applyBorder="1" applyAlignment="1">
      <alignment horizontal="center" vertical="center"/>
    </xf>
    <xf numFmtId="0" fontId="4" fillId="0" borderId="61" xfId="5" applyBorder="1" applyAlignment="1">
      <alignment horizontal="center" vertical="center"/>
    </xf>
    <xf numFmtId="0" fontId="4" fillId="0" borderId="62" xfId="5" applyBorder="1" applyAlignment="1">
      <alignment horizontal="center" vertical="center"/>
    </xf>
    <xf numFmtId="0" fontId="4" fillId="0" borderId="19" xfId="5" applyBorder="1" applyAlignment="1">
      <alignment horizontal="right" vertical="center"/>
    </xf>
    <xf numFmtId="0" fontId="4" fillId="0" borderId="63" xfId="5" applyBorder="1" applyAlignment="1">
      <alignment horizontal="center" vertical="center"/>
    </xf>
    <xf numFmtId="0" fontId="4" fillId="3" borderId="64" xfId="5" applyFill="1" applyBorder="1" applyAlignment="1">
      <alignment vertical="center"/>
    </xf>
    <xf numFmtId="0" fontId="9" fillId="3" borderId="65" xfId="5" applyFont="1" applyFill="1" applyBorder="1" applyAlignment="1">
      <alignment horizontal="left" vertical="center"/>
    </xf>
    <xf numFmtId="0" fontId="9" fillId="3" borderId="65" xfId="5" applyFont="1" applyFill="1" applyBorder="1" applyAlignment="1">
      <alignment vertical="center"/>
    </xf>
    <xf numFmtId="0" fontId="4" fillId="3" borderId="65" xfId="5" applyFill="1" applyBorder="1" applyAlignment="1">
      <alignment vertical="center"/>
    </xf>
    <xf numFmtId="0" fontId="4" fillId="3" borderId="66" xfId="5" applyFill="1" applyBorder="1" applyAlignment="1">
      <alignment horizontal="center" vertical="center"/>
    </xf>
    <xf numFmtId="0" fontId="4" fillId="0" borderId="19" xfId="5" applyBorder="1" applyAlignment="1">
      <alignment horizontal="center" vertical="center"/>
    </xf>
    <xf numFmtId="0" fontId="3" fillId="0" borderId="0" xfId="5" applyFont="1" applyAlignment="1">
      <alignment horizontal="center" vertical="center"/>
    </xf>
    <xf numFmtId="0" fontId="4" fillId="0" borderId="0" xfId="5" applyAlignment="1">
      <alignment horizontal="right" vertical="center"/>
    </xf>
    <xf numFmtId="0" fontId="3" fillId="0" borderId="67" xfId="5" applyFont="1" applyBorder="1" applyAlignment="1">
      <alignment vertical="center"/>
    </xf>
    <xf numFmtId="0" fontId="4" fillId="0" borderId="67" xfId="5" applyBorder="1" applyAlignment="1">
      <alignment horizontal="center" vertical="center"/>
    </xf>
    <xf numFmtId="0" fontId="4" fillId="0" borderId="68" xfId="5" applyBorder="1" applyAlignment="1">
      <alignment horizontal="center" vertical="center"/>
    </xf>
    <xf numFmtId="0" fontId="4" fillId="4" borderId="0" xfId="5" applyFill="1" applyAlignment="1">
      <alignment horizontal="center" vertical="center"/>
    </xf>
    <xf numFmtId="0" fontId="4" fillId="3" borderId="69" xfId="5" applyFill="1" applyBorder="1" applyAlignment="1">
      <alignment vertical="center"/>
    </xf>
    <xf numFmtId="0" fontId="9" fillId="3" borderId="67" xfId="5" applyFont="1" applyFill="1" applyBorder="1" applyAlignment="1">
      <alignment horizontal="left" vertical="center"/>
    </xf>
    <xf numFmtId="0" fontId="9" fillId="3" borderId="67" xfId="5" applyFont="1" applyFill="1" applyBorder="1" applyAlignment="1">
      <alignment vertical="center"/>
    </xf>
    <xf numFmtId="0" fontId="4" fillId="3" borderId="67" xfId="5" applyFill="1" applyBorder="1" applyAlignment="1">
      <alignment vertical="center"/>
    </xf>
    <xf numFmtId="0" fontId="4" fillId="3" borderId="68" xfId="5" applyFill="1" applyBorder="1" applyAlignment="1">
      <alignment horizontal="center" vertical="center"/>
    </xf>
    <xf numFmtId="0" fontId="4" fillId="4" borderId="70" xfId="5" applyFill="1" applyBorder="1" applyAlignment="1">
      <alignment horizontal="center" vertical="center"/>
    </xf>
    <xf numFmtId="0" fontId="21" fillId="0" borderId="0" xfId="5" applyFont="1" applyAlignment="1">
      <alignment horizontal="left" vertical="center"/>
    </xf>
    <xf numFmtId="0" fontId="31" fillId="0" borderId="0" xfId="5" applyFont="1" applyAlignment="1">
      <alignment vertical="center"/>
    </xf>
    <xf numFmtId="0" fontId="54" fillId="0" borderId="0" xfId="5" applyFont="1" applyAlignment="1">
      <alignment vertical="center"/>
    </xf>
    <xf numFmtId="0" fontId="31" fillId="0" borderId="0" xfId="5" applyFont="1" applyAlignment="1">
      <alignment horizontal="left" vertical="center"/>
    </xf>
    <xf numFmtId="0" fontId="4" fillId="0" borderId="72" xfId="5" applyBorder="1" applyAlignment="1">
      <alignment horizontal="right" vertical="center"/>
    </xf>
    <xf numFmtId="0" fontId="4" fillId="0" borderId="72" xfId="5" applyBorder="1" applyAlignment="1">
      <alignment horizontal="center" vertical="center"/>
    </xf>
    <xf numFmtId="0" fontId="4" fillId="0" borderId="71" xfId="5" applyBorder="1" applyAlignment="1">
      <alignment horizontal="center" vertical="center"/>
    </xf>
    <xf numFmtId="166" fontId="4" fillId="0" borderId="28" xfId="5" applyNumberFormat="1" applyBorder="1" applyAlignment="1">
      <alignment vertical="center"/>
    </xf>
    <xf numFmtId="0" fontId="31" fillId="3" borderId="75" xfId="5" applyFont="1" applyFill="1" applyBorder="1" applyAlignment="1">
      <alignment horizontal="center" vertical="center"/>
    </xf>
    <xf numFmtId="0" fontId="31" fillId="3" borderId="65" xfId="5" applyFont="1" applyFill="1" applyBorder="1" applyAlignment="1">
      <alignment horizontal="left" vertical="center"/>
    </xf>
    <xf numFmtId="0" fontId="31" fillId="3" borderId="76" xfId="5" applyFont="1" applyFill="1" applyBorder="1" applyAlignment="1">
      <alignment horizontal="center" vertical="center"/>
    </xf>
    <xf numFmtId="0" fontId="31" fillId="3" borderId="66" xfId="5" applyFont="1" applyFill="1" applyBorder="1" applyAlignment="1">
      <alignment horizontal="center" vertical="center"/>
    </xf>
    <xf numFmtId="166" fontId="14" fillId="3" borderId="33" xfId="5" applyNumberFormat="1" applyFont="1" applyFill="1" applyBorder="1" applyAlignment="1">
      <alignment vertical="center"/>
    </xf>
    <xf numFmtId="0" fontId="31" fillId="3" borderId="70" xfId="5" applyFont="1" applyFill="1" applyBorder="1" applyAlignment="1">
      <alignment horizontal="center" vertical="center"/>
    </xf>
    <xf numFmtId="0" fontId="31" fillId="3" borderId="0" xfId="5" applyFont="1" applyFill="1" applyAlignment="1">
      <alignment vertical="center"/>
    </xf>
    <xf numFmtId="0" fontId="31" fillId="3" borderId="36" xfId="5" applyFont="1" applyFill="1" applyBorder="1" applyAlignment="1">
      <alignment horizontal="center" vertical="center"/>
    </xf>
    <xf numFmtId="0" fontId="31" fillId="3" borderId="63" xfId="5" applyFont="1" applyFill="1" applyBorder="1" applyAlignment="1">
      <alignment horizontal="center" vertical="center"/>
    </xf>
    <xf numFmtId="166" fontId="31" fillId="3" borderId="34" xfId="5" applyNumberFormat="1" applyFont="1" applyFill="1" applyBorder="1" applyAlignment="1">
      <alignment horizontal="center" vertical="center"/>
    </xf>
    <xf numFmtId="166" fontId="31" fillId="3" borderId="39" xfId="5" applyNumberFormat="1" applyFont="1" applyFill="1" applyBorder="1" applyAlignment="1">
      <alignment horizontal="center" vertical="center"/>
    </xf>
    <xf numFmtId="166" fontId="14" fillId="3" borderId="77" xfId="5" applyNumberFormat="1" applyFont="1" applyFill="1" applyBorder="1" applyAlignment="1">
      <alignment horizontal="center" vertical="center"/>
    </xf>
    <xf numFmtId="166" fontId="14" fillId="3" borderId="28" xfId="5" applyNumberFormat="1" applyFont="1" applyFill="1" applyBorder="1" applyAlignment="1">
      <alignment horizontal="center" vertical="center"/>
    </xf>
    <xf numFmtId="0" fontId="4" fillId="3" borderId="29" xfId="5" applyFill="1" applyBorder="1" applyAlignment="1">
      <alignment horizontal="center" vertical="center"/>
    </xf>
    <xf numFmtId="0" fontId="31" fillId="3" borderId="78" xfId="5" applyFont="1" applyFill="1" applyBorder="1" applyAlignment="1">
      <alignment horizontal="center" vertical="center"/>
    </xf>
    <xf numFmtId="0" fontId="31" fillId="3" borderId="74" xfId="5" applyFont="1" applyFill="1" applyBorder="1" applyAlignment="1">
      <alignment horizontal="center" vertical="center"/>
    </xf>
    <xf numFmtId="0" fontId="31" fillId="3" borderId="43" xfId="5" applyFont="1" applyFill="1" applyBorder="1" applyAlignment="1">
      <alignment horizontal="center" vertical="center"/>
    </xf>
    <xf numFmtId="0" fontId="31" fillId="3" borderId="79" xfId="5" applyFont="1" applyFill="1" applyBorder="1" applyAlignment="1">
      <alignment horizontal="center" vertical="center"/>
    </xf>
    <xf numFmtId="0" fontId="31" fillId="3" borderId="80" xfId="5" applyFont="1" applyFill="1" applyBorder="1" applyAlignment="1">
      <alignment horizontal="center" vertical="center"/>
    </xf>
    <xf numFmtId="0" fontId="31" fillId="3" borderId="49" xfId="5" applyFont="1" applyFill="1" applyBorder="1" applyAlignment="1">
      <alignment horizontal="center" vertical="center"/>
    </xf>
    <xf numFmtId="0" fontId="30" fillId="0" borderId="19" xfId="5" applyFont="1" applyBorder="1" applyAlignment="1">
      <alignment vertical="center"/>
    </xf>
    <xf numFmtId="0" fontId="30" fillId="0" borderId="0" xfId="5" applyFont="1" applyAlignment="1">
      <alignment horizontal="left" vertical="center"/>
    </xf>
    <xf numFmtId="0" fontId="30" fillId="3" borderId="50" xfId="5" applyFont="1" applyFill="1" applyBorder="1" applyAlignment="1">
      <alignment vertical="center"/>
    </xf>
    <xf numFmtId="0" fontId="31" fillId="3" borderId="51" xfId="5" applyFont="1" applyFill="1" applyBorder="1" applyAlignment="1">
      <alignment vertical="center"/>
    </xf>
    <xf numFmtId="0" fontId="31" fillId="3" borderId="52" xfId="5" applyFont="1" applyFill="1" applyBorder="1" applyAlignment="1">
      <alignment vertical="center"/>
    </xf>
    <xf numFmtId="0" fontId="30" fillId="0" borderId="53" xfId="5" applyFont="1" applyBorder="1" applyAlignment="1">
      <alignment horizontal="center" vertical="center"/>
    </xf>
    <xf numFmtId="0" fontId="30" fillId="0" borderId="1" xfId="5" applyFont="1" applyBorder="1" applyAlignment="1">
      <alignment horizontal="center" vertical="center"/>
    </xf>
    <xf numFmtId="0" fontId="30" fillId="0" borderId="54" xfId="5" applyFont="1" applyBorder="1" applyAlignment="1">
      <alignment horizontal="center" vertical="center"/>
    </xf>
    <xf numFmtId="0" fontId="30" fillId="4" borderId="53" xfId="5" applyFont="1" applyFill="1" applyBorder="1" applyAlignment="1">
      <alignment horizontal="center" vertical="center"/>
    </xf>
    <xf numFmtId="0" fontId="30" fillId="0" borderId="1" xfId="5" quotePrefix="1" applyFont="1" applyBorder="1" applyAlignment="1">
      <alignment horizontal="center" vertical="center"/>
    </xf>
    <xf numFmtId="0" fontId="30" fillId="0" borderId="55" xfId="5" applyFont="1" applyBorder="1" applyAlignment="1">
      <alignment horizontal="center" vertical="center"/>
    </xf>
    <xf numFmtId="0" fontId="30" fillId="0" borderId="57" xfId="5" applyFont="1" applyBorder="1" applyAlignment="1">
      <alignment horizontal="center" vertical="center"/>
    </xf>
    <xf numFmtId="0" fontId="30" fillId="0" borderId="48" xfId="5" applyFont="1" applyBorder="1" applyAlignment="1">
      <alignment horizontal="center" vertical="center"/>
    </xf>
    <xf numFmtId="0" fontId="30" fillId="0" borderId="22" xfId="5" applyFont="1" applyBorder="1" applyAlignment="1">
      <alignment horizontal="center" vertical="center"/>
    </xf>
    <xf numFmtId="0" fontId="30" fillId="0" borderId="83" xfId="5" applyFont="1" applyBorder="1" applyAlignment="1">
      <alignment horizontal="center" vertical="center"/>
    </xf>
    <xf numFmtId="0" fontId="30" fillId="0" borderId="3" xfId="5" applyFont="1" applyBorder="1" applyAlignment="1">
      <alignment horizontal="center" vertical="center"/>
    </xf>
    <xf numFmtId="0" fontId="30" fillId="0" borderId="84" xfId="5" applyFont="1" applyBorder="1" applyAlignment="1">
      <alignment horizontal="center" vertical="center"/>
    </xf>
    <xf numFmtId="0" fontId="30" fillId="4" borderId="50" xfId="5" applyFont="1" applyFill="1" applyBorder="1" applyAlignment="1">
      <alignment horizontal="center" vertical="center"/>
    </xf>
    <xf numFmtId="0" fontId="30" fillId="0" borderId="51" xfId="5" applyFont="1" applyBorder="1" applyAlignment="1">
      <alignment horizontal="center" vertical="center"/>
    </xf>
    <xf numFmtId="0" fontId="30" fillId="0" borderId="52" xfId="5" applyFont="1" applyBorder="1" applyAlignment="1">
      <alignment horizontal="center" vertical="center"/>
    </xf>
    <xf numFmtId="0" fontId="30" fillId="4" borderId="55" xfId="5" applyFont="1" applyFill="1" applyBorder="1" applyAlignment="1">
      <alignment horizontal="center" vertical="center"/>
    </xf>
    <xf numFmtId="0" fontId="30" fillId="0" borderId="26" xfId="5" applyFont="1" applyBorder="1" applyAlignment="1">
      <alignment horizontal="center" vertical="center"/>
    </xf>
    <xf numFmtId="0" fontId="30" fillId="4" borderId="83" xfId="5" applyFont="1" applyFill="1" applyBorder="1" applyAlignment="1">
      <alignment horizontal="center" vertical="center"/>
    </xf>
    <xf numFmtId="0" fontId="30" fillId="0" borderId="28" xfId="5" applyFont="1" applyBorder="1" applyAlignment="1">
      <alignment horizontal="center" vertical="center"/>
    </xf>
    <xf numFmtId="0" fontId="28" fillId="0" borderId="0" xfId="5" applyFont="1" applyAlignment="1">
      <alignment vertical="center"/>
    </xf>
    <xf numFmtId="0" fontId="30" fillId="0" borderId="50" xfId="5" applyFont="1" applyBorder="1" applyAlignment="1">
      <alignment horizontal="center" vertical="center"/>
    </xf>
    <xf numFmtId="0" fontId="30" fillId="0" borderId="69" xfId="5" applyFont="1" applyBorder="1" applyAlignment="1">
      <alignment horizontal="center" vertical="center"/>
    </xf>
    <xf numFmtId="0" fontId="30" fillId="0" borderId="67" xfId="5" applyFont="1" applyBorder="1" applyAlignment="1">
      <alignment horizontal="center" vertical="center"/>
    </xf>
    <xf numFmtId="0" fontId="30" fillId="0" borderId="68" xfId="5" applyFont="1" applyBorder="1" applyAlignment="1">
      <alignment horizontal="center" vertical="center"/>
    </xf>
    <xf numFmtId="0" fontId="30" fillId="0" borderId="19" xfId="5" applyFont="1" applyBorder="1" applyAlignment="1">
      <alignment horizontal="right" vertical="center"/>
    </xf>
    <xf numFmtId="0" fontId="33" fillId="3" borderId="51" xfId="5" applyFont="1" applyFill="1" applyBorder="1" applyAlignment="1">
      <alignment horizontal="left" vertical="center"/>
    </xf>
    <xf numFmtId="0" fontId="33" fillId="3" borderId="51" xfId="5" applyFont="1" applyFill="1" applyBorder="1" applyAlignment="1">
      <alignment vertical="center"/>
    </xf>
    <xf numFmtId="0" fontId="30" fillId="3" borderId="51" xfId="5" applyFont="1" applyFill="1" applyBorder="1" applyAlignment="1">
      <alignment vertical="center"/>
    </xf>
    <xf numFmtId="0" fontId="30" fillId="3" borderId="52" xfId="5" applyFont="1" applyFill="1" applyBorder="1" applyAlignment="1">
      <alignment horizontal="center" vertical="center"/>
    </xf>
    <xf numFmtId="0" fontId="30" fillId="0" borderId="19" xfId="5" applyFont="1" applyBorder="1" applyAlignment="1">
      <alignment horizontal="center" vertical="center"/>
    </xf>
    <xf numFmtId="0" fontId="30" fillId="4" borderId="28" xfId="5" applyFont="1" applyFill="1" applyBorder="1" applyAlignment="1">
      <alignment horizontal="center" vertical="center"/>
    </xf>
    <xf numFmtId="0" fontId="30" fillId="4" borderId="19" xfId="5" applyFont="1" applyFill="1" applyBorder="1" applyAlignment="1">
      <alignment horizontal="center" vertical="center"/>
    </xf>
    <xf numFmtId="0" fontId="30" fillId="4" borderId="69" xfId="5" applyFont="1" applyFill="1" applyBorder="1" applyAlignment="1">
      <alignment horizontal="center" vertical="center"/>
    </xf>
    <xf numFmtId="0" fontId="31" fillId="0" borderId="17" xfId="5" applyFont="1" applyBorder="1" applyAlignment="1">
      <alignment vertical="center"/>
    </xf>
    <xf numFmtId="0" fontId="29" fillId="0" borderId="0" xfId="5" applyFont="1" applyAlignment="1">
      <alignment vertical="center"/>
    </xf>
    <xf numFmtId="0" fontId="29" fillId="0" borderId="0" xfId="5" applyFont="1" applyAlignment="1">
      <alignment horizontal="left" vertical="center"/>
    </xf>
    <xf numFmtId="49" fontId="14" fillId="3" borderId="4" xfId="2" applyNumberFormat="1" applyFont="1" applyFill="1" applyBorder="1" applyAlignment="1">
      <alignment horizontal="center" vertical="top"/>
    </xf>
    <xf numFmtId="0" fontId="14" fillId="3" borderId="4" xfId="2" applyFont="1" applyFill="1" applyBorder="1" applyAlignment="1">
      <alignment horizontal="center" vertical="top"/>
    </xf>
    <xf numFmtId="0" fontId="4" fillId="0" borderId="0" xfId="0" applyFont="1" applyAlignment="1">
      <alignment horizontal="left"/>
    </xf>
    <xf numFmtId="49" fontId="14" fillId="3" borderId="4" xfId="0" applyNumberFormat="1" applyFont="1" applyFill="1" applyBorder="1" applyAlignment="1">
      <alignment horizontal="left" vertical="top"/>
    </xf>
    <xf numFmtId="0" fontId="14" fillId="3" borderId="4" xfId="0" applyFont="1" applyFill="1" applyBorder="1" applyAlignment="1">
      <alignment horizontal="left" vertical="top"/>
    </xf>
    <xf numFmtId="0" fontId="14" fillId="3" borderId="5" xfId="0" applyFont="1" applyFill="1" applyBorder="1" applyAlignment="1">
      <alignment horizontal="center" vertical="top"/>
    </xf>
    <xf numFmtId="0" fontId="14" fillId="3" borderId="4" xfId="0" applyFont="1" applyFill="1" applyBorder="1" applyAlignment="1">
      <alignment horizontal="center" vertical="top" wrapText="1"/>
    </xf>
    <xf numFmtId="0" fontId="14" fillId="3" borderId="3" xfId="0" applyFont="1" applyFill="1" applyBorder="1" applyAlignment="1">
      <alignment horizontal="left"/>
    </xf>
    <xf numFmtId="49" fontId="14" fillId="3" borderId="18" xfId="0" applyNumberFormat="1" applyFont="1" applyFill="1" applyBorder="1" applyAlignment="1">
      <alignment horizontal="center"/>
    </xf>
    <xf numFmtId="0" fontId="14" fillId="3" borderId="19" xfId="0" applyFont="1" applyFill="1" applyBorder="1" applyAlignment="1">
      <alignment horizontal="center" vertical="top"/>
    </xf>
    <xf numFmtId="0" fontId="19" fillId="3" borderId="18" xfId="0" quotePrefix="1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49" fontId="14" fillId="0" borderId="72" xfId="0" applyNumberFormat="1" applyFont="1" applyBorder="1" applyAlignment="1">
      <alignment horizontal="center"/>
    </xf>
    <xf numFmtId="0" fontId="14" fillId="0" borderId="72" xfId="0" applyFont="1" applyBorder="1" applyAlignment="1">
      <alignment horizontal="center"/>
    </xf>
    <xf numFmtId="0" fontId="14" fillId="0" borderId="72" xfId="0" applyFont="1" applyBorder="1" applyAlignment="1">
      <alignment horizontal="center" vertical="top"/>
    </xf>
    <xf numFmtId="49" fontId="14" fillId="0" borderId="17" xfId="0" applyNumberFormat="1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17" xfId="0" applyFont="1" applyBorder="1" applyAlignment="1">
      <alignment horizontal="center" vertical="top"/>
    </xf>
    <xf numFmtId="0" fontId="19" fillId="0" borderId="17" xfId="0" quotePrefix="1" applyFont="1" applyBorder="1" applyAlignment="1">
      <alignment horizontal="center" vertical="top" wrapText="1"/>
    </xf>
    <xf numFmtId="49" fontId="14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/>
    </xf>
    <xf numFmtId="49" fontId="14" fillId="3" borderId="18" xfId="0" applyNumberFormat="1" applyFont="1" applyFill="1" applyBorder="1" applyAlignment="1">
      <alignment horizontal="left" vertical="top"/>
    </xf>
    <xf numFmtId="0" fontId="14" fillId="3" borderId="18" xfId="0" applyFont="1" applyFill="1" applyBorder="1" applyAlignment="1">
      <alignment horizontal="left" vertical="top"/>
    </xf>
    <xf numFmtId="0" fontId="14" fillId="3" borderId="18" xfId="0" applyFont="1" applyFill="1" applyBorder="1" applyAlignment="1">
      <alignment horizontal="center" vertical="top"/>
    </xf>
    <xf numFmtId="0" fontId="14" fillId="3" borderId="18" xfId="0" applyFont="1" applyFill="1" applyBorder="1" applyAlignment="1">
      <alignment horizontal="center" vertical="top" wrapText="1"/>
    </xf>
    <xf numFmtId="0" fontId="19" fillId="3" borderId="3" xfId="0" applyFont="1" applyFill="1" applyBorder="1" applyAlignment="1">
      <alignment horizontal="center" vertical="top"/>
    </xf>
    <xf numFmtId="0" fontId="14" fillId="3" borderId="7" xfId="0" applyFont="1" applyFill="1" applyBorder="1" applyAlignment="1">
      <alignment horizontal="left"/>
    </xf>
    <xf numFmtId="0" fontId="14" fillId="3" borderId="4" xfId="2" applyFont="1" applyFill="1" applyBorder="1" applyAlignment="1">
      <alignment horizontal="center" vertical="top" wrapText="1"/>
    </xf>
    <xf numFmtId="0" fontId="14" fillId="3" borderId="3" xfId="2" applyFont="1" applyFill="1" applyBorder="1" applyAlignment="1">
      <alignment horizontal="center" vertical="top" wrapText="1"/>
    </xf>
    <xf numFmtId="49" fontId="14" fillId="3" borderId="3" xfId="2" applyNumberFormat="1" applyFont="1" applyFill="1" applyBorder="1" applyAlignment="1">
      <alignment horizontal="center" vertical="top"/>
    </xf>
    <xf numFmtId="0" fontId="14" fillId="3" borderId="5" xfId="2" applyFont="1" applyFill="1" applyBorder="1" applyAlignment="1">
      <alignment horizontal="center" vertical="top" wrapText="1"/>
    </xf>
    <xf numFmtId="0" fontId="14" fillId="3" borderId="6" xfId="2" applyFont="1" applyFill="1" applyBorder="1" applyAlignment="1">
      <alignment horizontal="center" vertical="top" wrapText="1"/>
    </xf>
    <xf numFmtId="0" fontId="14" fillId="3" borderId="3" xfId="2" applyFont="1" applyFill="1" applyBorder="1" applyAlignment="1">
      <alignment horizontal="center" vertical="top"/>
    </xf>
    <xf numFmtId="0" fontId="14" fillId="3" borderId="3" xfId="3" quotePrefix="1" applyFont="1" applyFill="1" applyBorder="1" applyAlignment="1">
      <alignment horizontal="center" vertical="center"/>
    </xf>
    <xf numFmtId="0" fontId="14" fillId="3" borderId="4" xfId="3" quotePrefix="1" applyFont="1" applyFill="1" applyBorder="1" applyAlignment="1">
      <alignment horizontal="center" vertical="center"/>
    </xf>
    <xf numFmtId="0" fontId="14" fillId="3" borderId="73" xfId="3" quotePrefix="1" applyFont="1" applyFill="1" applyBorder="1" applyAlignment="1">
      <alignment horizontal="center" vertical="center"/>
    </xf>
    <xf numFmtId="0" fontId="14" fillId="3" borderId="90" xfId="3" quotePrefix="1" applyFont="1" applyFill="1" applyBorder="1" applyAlignment="1">
      <alignment horizontal="center" vertical="center"/>
    </xf>
    <xf numFmtId="0" fontId="14" fillId="3" borderId="17" xfId="3" quotePrefix="1" applyFont="1" applyFill="1" applyBorder="1" applyAlignment="1">
      <alignment horizontal="center" vertical="center"/>
    </xf>
    <xf numFmtId="0" fontId="14" fillId="3" borderId="72" xfId="3" quotePrefix="1" applyFont="1" applyFill="1" applyBorder="1" applyAlignment="1">
      <alignment horizontal="center" vertical="center"/>
    </xf>
    <xf numFmtId="49" fontId="6" fillId="0" borderId="0" xfId="2" applyNumberFormat="1" applyFont="1" applyAlignment="1">
      <alignment horizontal="left"/>
    </xf>
    <xf numFmtId="49" fontId="6" fillId="0" borderId="0" xfId="2" applyNumberFormat="1" applyFont="1" applyAlignment="1">
      <alignment horizontal="center"/>
    </xf>
    <xf numFmtId="0" fontId="14" fillId="0" borderId="0" xfId="2" applyFont="1" applyAlignment="1">
      <alignment horizontal="center"/>
    </xf>
    <xf numFmtId="49" fontId="14" fillId="3" borderId="1" xfId="2" applyNumberFormat="1" applyFont="1" applyFill="1" applyBorder="1" applyAlignment="1">
      <alignment horizontal="left"/>
    </xf>
    <xf numFmtId="0" fontId="14" fillId="3" borderId="1" xfId="2" applyFont="1" applyFill="1" applyBorder="1" applyAlignment="1">
      <alignment horizontal="center"/>
    </xf>
    <xf numFmtId="14" fontId="4" fillId="0" borderId="1" xfId="2" applyNumberFormat="1" applyBorder="1" applyAlignment="1">
      <alignment horizontal="center"/>
    </xf>
    <xf numFmtId="3" fontId="4" fillId="0" borderId="1" xfId="2" applyNumberFormat="1" applyBorder="1"/>
    <xf numFmtId="10" fontId="4" fillId="0" borderId="1" xfId="2" applyNumberFormat="1" applyBorder="1"/>
    <xf numFmtId="0" fontId="6" fillId="0" borderId="0" xfId="2" applyFont="1" applyAlignment="1">
      <alignment horizontal="left"/>
    </xf>
    <xf numFmtId="0" fontId="10" fillId="3" borderId="1" xfId="0" applyFont="1" applyFill="1" applyBorder="1" applyAlignment="1">
      <alignment horizontal="center" vertical="top" wrapText="1"/>
    </xf>
    <xf numFmtId="0" fontId="14" fillId="3" borderId="25" xfId="5" applyFont="1" applyFill="1" applyBorder="1" applyAlignment="1">
      <alignment horizontal="center" vertical="center"/>
    </xf>
    <xf numFmtId="0" fontId="14" fillId="0" borderId="22" xfId="5" applyFont="1" applyBorder="1" applyAlignment="1">
      <alignment horizontal="center" vertical="center"/>
    </xf>
    <xf numFmtId="166" fontId="14" fillId="3" borderId="33" xfId="5" applyNumberFormat="1" applyFont="1" applyFill="1" applyBorder="1" applyAlignment="1">
      <alignment horizontal="center" vertical="center"/>
    </xf>
    <xf numFmtId="166" fontId="14" fillId="3" borderId="34" xfId="5" applyNumberFormat="1" applyFont="1" applyFill="1" applyBorder="1" applyAlignment="1">
      <alignment horizontal="center" vertical="center"/>
    </xf>
    <xf numFmtId="166" fontId="14" fillId="3" borderId="46" xfId="5" applyNumberFormat="1" applyFont="1" applyFill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top"/>
    </xf>
    <xf numFmtId="164" fontId="4" fillId="0" borderId="0" xfId="0" applyNumberFormat="1" applyFont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0" borderId="72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46" fillId="0" borderId="1" xfId="0" applyFont="1" applyBorder="1" applyAlignment="1">
      <alignment horizontal="center"/>
    </xf>
    <xf numFmtId="0" fontId="46" fillId="0" borderId="0" xfId="0" applyFont="1" applyAlignment="1">
      <alignment horizontal="center"/>
    </xf>
    <xf numFmtId="49" fontId="4" fillId="0" borderId="0" xfId="3" applyNumberFormat="1" applyFont="1" applyAlignment="1">
      <alignment horizontal="center"/>
    </xf>
    <xf numFmtId="0" fontId="4" fillId="0" borderId="0" xfId="3" applyFont="1" applyAlignment="1">
      <alignment horizontal="left"/>
    </xf>
    <xf numFmtId="0" fontId="4" fillId="0" borderId="0" xfId="3" applyFont="1"/>
    <xf numFmtId="49" fontId="4" fillId="3" borderId="8" xfId="3" applyNumberFormat="1" applyFont="1" applyFill="1" applyBorder="1"/>
    <xf numFmtId="0" fontId="4" fillId="0" borderId="11" xfId="3" applyFont="1" applyBorder="1"/>
    <xf numFmtId="49" fontId="4" fillId="0" borderId="14" xfId="3" applyNumberFormat="1" applyFont="1" applyBorder="1" applyAlignment="1">
      <alignment horizontal="center" vertical="center"/>
    </xf>
    <xf numFmtId="0" fontId="4" fillId="0" borderId="10" xfId="3" applyFont="1" applyBorder="1" applyAlignment="1">
      <alignment vertical="center"/>
    </xf>
    <xf numFmtId="0" fontId="4" fillId="0" borderId="12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167" fontId="4" fillId="0" borderId="0" xfId="6" applyNumberFormat="1" applyFont="1"/>
    <xf numFmtId="0" fontId="4" fillId="0" borderId="9" xfId="3" applyFont="1" applyBorder="1" applyAlignment="1">
      <alignment vertical="center"/>
    </xf>
    <xf numFmtId="0" fontId="4" fillId="0" borderId="0" xfId="3" applyFont="1" applyAlignment="1">
      <alignment horizontal="center"/>
    </xf>
    <xf numFmtId="49" fontId="4" fillId="0" borderId="15" xfId="3" applyNumberFormat="1" applyFont="1" applyBorder="1" applyAlignment="1">
      <alignment horizontal="center" vertical="center"/>
    </xf>
    <xf numFmtId="49" fontId="4" fillId="3" borderId="8" xfId="3" applyNumberFormat="1" applyFont="1" applyFill="1" applyBorder="1" applyAlignment="1">
      <alignment horizontal="center"/>
    </xf>
    <xf numFmtId="0" fontId="4" fillId="0" borderId="10" xfId="3" applyFont="1" applyBorder="1"/>
    <xf numFmtId="0" fontId="4" fillId="0" borderId="13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164" fontId="71" fillId="2" borderId="1" xfId="12" applyNumberFormat="1" applyFont="1" applyFill="1" applyBorder="1" applyAlignment="1">
      <alignment horizontal="center" vertical="top"/>
    </xf>
    <xf numFmtId="14" fontId="4" fillId="0" borderId="1" xfId="2" applyNumberFormat="1" applyBorder="1" applyAlignment="1">
      <alignment horizontal="right"/>
    </xf>
    <xf numFmtId="4" fontId="4" fillId="0" borderId="1" xfId="10" applyNumberFormat="1" applyFont="1" applyFill="1" applyBorder="1" applyAlignment="1"/>
    <xf numFmtId="1" fontId="4" fillId="0" borderId="1" xfId="2" applyNumberFormat="1" applyBorder="1" applyAlignment="1">
      <alignment horizontal="right"/>
    </xf>
    <xf numFmtId="49" fontId="4" fillId="0" borderId="1" xfId="2" applyNumberFormat="1" applyBorder="1" applyAlignment="1">
      <alignment horizontal="right"/>
    </xf>
    <xf numFmtId="14" fontId="4" fillId="0" borderId="1" xfId="2" applyNumberFormat="1" applyBorder="1"/>
    <xf numFmtId="14" fontId="4" fillId="0" borderId="1" xfId="622" applyNumberFormat="1" applyBorder="1" applyAlignment="1">
      <alignment horizontal="right"/>
    </xf>
    <xf numFmtId="1" fontId="4" fillId="0" borderId="1" xfId="2" applyNumberFormat="1" applyBorder="1"/>
    <xf numFmtId="0" fontId="4" fillId="0" borderId="1" xfId="2" applyBorder="1" applyAlignment="1">
      <alignment horizontal="right"/>
    </xf>
    <xf numFmtId="164" fontId="4" fillId="0" borderId="1" xfId="11" applyNumberFormat="1" applyBorder="1"/>
    <xf numFmtId="0" fontId="4" fillId="0" borderId="1" xfId="11" applyBorder="1"/>
    <xf numFmtId="14" fontId="4" fillId="0" borderId="1" xfId="11" applyNumberFormat="1" applyBorder="1" applyAlignment="1">
      <alignment horizontal="right"/>
    </xf>
    <xf numFmtId="164" fontId="4" fillId="0" borderId="1" xfId="2" applyNumberFormat="1" applyBorder="1"/>
    <xf numFmtId="14" fontId="4" fillId="0" borderId="1" xfId="11" applyNumberFormat="1" applyBorder="1"/>
    <xf numFmtId="180" fontId="4" fillId="0" borderId="1" xfId="2" applyNumberFormat="1" applyBorder="1" applyAlignment="1">
      <alignment horizontal="right"/>
    </xf>
    <xf numFmtId="4" fontId="4" fillId="0" borderId="1" xfId="2" applyNumberFormat="1" applyBorder="1"/>
    <xf numFmtId="180" fontId="4" fillId="0" borderId="1" xfId="2" applyNumberFormat="1" applyBorder="1"/>
    <xf numFmtId="1" fontId="4" fillId="0" borderId="1" xfId="2" applyNumberFormat="1" applyBorder="1" applyAlignment="1">
      <alignment horizontal="center"/>
    </xf>
    <xf numFmtId="164" fontId="4" fillId="5" borderId="1" xfId="2" applyNumberFormat="1" applyFill="1" applyBorder="1" applyAlignment="1" applyProtection="1">
      <alignment horizontal="center" vertical="center"/>
      <protection locked="0"/>
    </xf>
    <xf numFmtId="182" fontId="4" fillId="5" borderId="53" xfId="5" applyNumberFormat="1" applyFill="1" applyBorder="1" applyAlignment="1" applyProtection="1">
      <alignment vertical="center"/>
      <protection locked="0"/>
    </xf>
    <xf numFmtId="182" fontId="4" fillId="5" borderId="1" xfId="5" applyNumberFormat="1" applyFill="1" applyBorder="1" applyAlignment="1" applyProtection="1">
      <alignment vertical="center"/>
      <protection locked="0"/>
    </xf>
    <xf numFmtId="182" fontId="4" fillId="5" borderId="69" xfId="5" applyNumberFormat="1" applyFill="1" applyBorder="1" applyAlignment="1" applyProtection="1">
      <alignment vertical="center"/>
      <protection locked="0"/>
    </xf>
    <xf numFmtId="182" fontId="4" fillId="5" borderId="67" xfId="5" applyNumberFormat="1" applyFill="1" applyBorder="1" applyAlignment="1" applyProtection="1">
      <alignment vertical="center"/>
      <protection locked="0"/>
    </xf>
    <xf numFmtId="182" fontId="4" fillId="0" borderId="0" xfId="5" applyNumberFormat="1" applyAlignment="1">
      <alignment vertical="center"/>
    </xf>
    <xf numFmtId="182" fontId="4" fillId="5" borderId="86" xfId="5" applyNumberFormat="1" applyFill="1" applyBorder="1" applyAlignment="1">
      <alignment vertical="center"/>
    </xf>
    <xf numFmtId="182" fontId="4" fillId="5" borderId="50" xfId="5" applyNumberFormat="1" applyFill="1" applyBorder="1" applyAlignment="1">
      <alignment vertical="center"/>
    </xf>
    <xf numFmtId="182" fontId="4" fillId="5" borderId="51" xfId="5" applyNumberFormat="1" applyFill="1" applyBorder="1" applyAlignment="1">
      <alignment vertical="center"/>
    </xf>
    <xf numFmtId="182" fontId="4" fillId="5" borderId="53" xfId="5" applyNumberFormat="1" applyFill="1" applyBorder="1" applyAlignment="1">
      <alignment vertical="center"/>
    </xf>
    <xf numFmtId="182" fontId="4" fillId="5" borderId="1" xfId="5" applyNumberFormat="1" applyFill="1" applyBorder="1" applyAlignment="1">
      <alignment vertical="center"/>
    </xf>
    <xf numFmtId="182" fontId="4" fillId="5" borderId="56" xfId="5" applyNumberFormat="1" applyFill="1" applyBorder="1" applyAlignment="1">
      <alignment vertical="center"/>
    </xf>
    <xf numFmtId="182" fontId="4" fillId="0" borderId="34" xfId="5" applyNumberFormat="1" applyBorder="1" applyAlignment="1">
      <alignment vertical="center"/>
    </xf>
    <xf numFmtId="182" fontId="4" fillId="0" borderId="46" xfId="5" applyNumberFormat="1" applyBorder="1" applyAlignment="1">
      <alignment vertical="center"/>
    </xf>
    <xf numFmtId="182" fontId="4" fillId="5" borderId="55" xfId="5" applyNumberFormat="1" applyFill="1" applyBorder="1" applyAlignment="1">
      <alignment vertical="center"/>
    </xf>
    <xf numFmtId="182" fontId="4" fillId="9" borderId="82" xfId="5" applyNumberFormat="1" applyFill="1" applyBorder="1" applyAlignment="1">
      <alignment vertical="center"/>
    </xf>
    <xf numFmtId="182" fontId="4" fillId="9" borderId="55" xfId="5" applyNumberFormat="1" applyFill="1" applyBorder="1" applyAlignment="1">
      <alignment vertical="center"/>
    </xf>
    <xf numFmtId="182" fontId="4" fillId="9" borderId="56" xfId="5" applyNumberFormat="1" applyFill="1" applyBorder="1" applyAlignment="1">
      <alignment vertical="center"/>
    </xf>
    <xf numFmtId="182" fontId="14" fillId="0" borderId="0" xfId="5" applyNumberFormat="1" applyFont="1" applyAlignment="1">
      <alignment horizontal="center" vertical="center"/>
    </xf>
    <xf numFmtId="182" fontId="4" fillId="5" borderId="20" xfId="5" applyNumberFormat="1" applyFill="1" applyBorder="1" applyAlignment="1">
      <alignment vertical="center"/>
    </xf>
    <xf numFmtId="182" fontId="4" fillId="5" borderId="81" xfId="5" applyNumberFormat="1" applyFill="1" applyBorder="1" applyAlignment="1">
      <alignment vertical="center"/>
    </xf>
    <xf numFmtId="182" fontId="4" fillId="5" borderId="82" xfId="5" applyNumberFormat="1" applyFill="1" applyBorder="1" applyAlignment="1">
      <alignment vertical="center"/>
    </xf>
    <xf numFmtId="182" fontId="4" fillId="5" borderId="94" xfId="5" applyNumberFormat="1" applyFill="1" applyBorder="1" applyAlignment="1">
      <alignment vertical="center"/>
    </xf>
    <xf numFmtId="182" fontId="4" fillId="5" borderId="50" xfId="5" applyNumberFormat="1" applyFill="1" applyBorder="1" applyAlignment="1" applyProtection="1">
      <alignment vertical="center"/>
      <protection locked="0"/>
    </xf>
    <xf numFmtId="182" fontId="4" fillId="5" borderId="51" xfId="5" applyNumberFormat="1" applyFill="1" applyBorder="1" applyAlignment="1" applyProtection="1">
      <alignment vertical="center"/>
      <protection locked="0"/>
    </xf>
    <xf numFmtId="182" fontId="4" fillId="5" borderId="55" xfId="5" applyNumberFormat="1" applyFill="1" applyBorder="1" applyAlignment="1" applyProtection="1">
      <alignment vertical="center"/>
      <protection locked="0"/>
    </xf>
    <xf numFmtId="182" fontId="4" fillId="5" borderId="56" xfId="5" applyNumberFormat="1" applyFill="1" applyBorder="1" applyAlignment="1" applyProtection="1">
      <alignment vertical="center"/>
      <protection locked="0"/>
    </xf>
    <xf numFmtId="182" fontId="4" fillId="5" borderId="82" xfId="5" applyNumberFormat="1" applyFill="1" applyBorder="1" applyAlignment="1" applyProtection="1">
      <alignment vertical="center"/>
      <protection locked="0"/>
    </xf>
    <xf numFmtId="182" fontId="4" fillId="5" borderId="81" xfId="5" applyNumberFormat="1" applyFill="1" applyBorder="1" applyAlignment="1" applyProtection="1">
      <alignment vertical="center"/>
      <protection locked="0"/>
    </xf>
    <xf numFmtId="182" fontId="26" fillId="0" borderId="0" xfId="5" applyNumberFormat="1" applyFont="1" applyAlignment="1">
      <alignment vertical="center"/>
    </xf>
    <xf numFmtId="182" fontId="4" fillId="5" borderId="97" xfId="5" applyNumberFormat="1" applyFill="1" applyBorder="1" applyAlignment="1">
      <alignment vertical="center"/>
    </xf>
    <xf numFmtId="182" fontId="4" fillId="5" borderId="85" xfId="5" applyNumberFormat="1" applyFill="1" applyBorder="1" applyAlignment="1">
      <alignment vertical="center"/>
    </xf>
    <xf numFmtId="182" fontId="21" fillId="0" borderId="0" xfId="5" applyNumberFormat="1" applyFont="1" applyAlignment="1">
      <alignment vertical="center"/>
    </xf>
    <xf numFmtId="182" fontId="4" fillId="0" borderId="0" xfId="5" applyNumberFormat="1" applyAlignment="1" applyProtection="1">
      <alignment vertical="center"/>
      <protection locked="0"/>
    </xf>
    <xf numFmtId="182" fontId="4" fillId="5" borderId="86" xfId="5" applyNumberFormat="1" applyFill="1" applyBorder="1" applyAlignment="1" applyProtection="1">
      <alignment vertical="center"/>
      <protection locked="0"/>
    </xf>
    <xf numFmtId="182" fontId="4" fillId="9" borderId="86" xfId="5" applyNumberFormat="1" applyFill="1" applyBorder="1" applyAlignment="1">
      <alignment vertical="center"/>
    </xf>
    <xf numFmtId="182" fontId="4" fillId="5" borderId="93" xfId="5" applyNumberFormat="1" applyFill="1" applyBorder="1" applyAlignment="1">
      <alignment vertical="center"/>
    </xf>
    <xf numFmtId="182" fontId="4" fillId="5" borderId="46" xfId="5" applyNumberFormat="1" applyFill="1" applyBorder="1" applyAlignment="1">
      <alignment vertical="center"/>
    </xf>
    <xf numFmtId="182" fontId="4" fillId="5" borderId="69" xfId="5" applyNumberFormat="1" applyFill="1" applyBorder="1" applyAlignment="1">
      <alignment vertical="center"/>
    </xf>
    <xf numFmtId="182" fontId="4" fillId="5" borderId="67" xfId="5" applyNumberFormat="1" applyFill="1" applyBorder="1" applyAlignment="1">
      <alignment vertical="center"/>
    </xf>
    <xf numFmtId="182" fontId="4" fillId="8" borderId="52" xfId="5" applyNumberFormat="1" applyFill="1" applyBorder="1" applyAlignment="1" applyProtection="1">
      <alignment horizontal="center" vertical="center"/>
      <protection locked="0"/>
    </xf>
    <xf numFmtId="182" fontId="4" fillId="8" borderId="54" xfId="5" applyNumberFormat="1" applyFill="1" applyBorder="1" applyAlignment="1" applyProtection="1">
      <alignment horizontal="center" vertical="center"/>
      <protection locked="0"/>
    </xf>
    <xf numFmtId="182" fontId="4" fillId="8" borderId="57" xfId="5" applyNumberFormat="1" applyFill="1" applyBorder="1" applyAlignment="1" applyProtection="1">
      <alignment horizontal="center" vertical="center"/>
      <protection locked="0"/>
    </xf>
    <xf numFmtId="182" fontId="4" fillId="5" borderId="54" xfId="5" applyNumberFormat="1" applyFill="1" applyBorder="1" applyAlignment="1" applyProtection="1">
      <alignment horizontal="center" vertical="center"/>
      <protection locked="0"/>
    </xf>
    <xf numFmtId="182" fontId="4" fillId="5" borderId="57" xfId="5" applyNumberFormat="1" applyFill="1" applyBorder="1" applyAlignment="1" applyProtection="1">
      <alignment horizontal="center" vertical="center"/>
      <protection locked="0"/>
    </xf>
    <xf numFmtId="182" fontId="4" fillId="0" borderId="0" xfId="5" applyNumberFormat="1" applyAlignment="1" applyProtection="1">
      <alignment horizontal="center" vertical="center"/>
      <protection locked="0"/>
    </xf>
    <xf numFmtId="182" fontId="4" fillId="8" borderId="68" xfId="5" applyNumberFormat="1" applyFill="1" applyBorder="1" applyAlignment="1" applyProtection="1">
      <alignment horizontal="center" vertical="center"/>
      <protection locked="0"/>
    </xf>
    <xf numFmtId="182" fontId="4" fillId="5" borderId="52" xfId="5" applyNumberFormat="1" applyFill="1" applyBorder="1" applyAlignment="1" applyProtection="1">
      <alignment horizontal="center" vertical="center"/>
      <protection locked="0"/>
    </xf>
    <xf numFmtId="182" fontId="4" fillId="0" borderId="0" xfId="5" applyNumberFormat="1" applyAlignment="1">
      <alignment horizontal="center" vertical="center"/>
    </xf>
    <xf numFmtId="182" fontId="4" fillId="5" borderId="68" xfId="5" applyNumberFormat="1" applyFill="1" applyBorder="1" applyAlignment="1" applyProtection="1">
      <alignment horizontal="center" vertical="center"/>
      <protection locked="0"/>
    </xf>
    <xf numFmtId="182" fontId="4" fillId="9" borderId="52" xfId="5" applyNumberFormat="1" applyFill="1" applyBorder="1" applyAlignment="1" applyProtection="1">
      <alignment horizontal="center" vertical="center"/>
      <protection locked="0"/>
    </xf>
    <xf numFmtId="182" fontId="4" fillId="9" borderId="57" xfId="5" applyNumberFormat="1" applyFill="1" applyBorder="1" applyAlignment="1" applyProtection="1">
      <alignment horizontal="center" vertical="center"/>
      <protection locked="0"/>
    </xf>
    <xf numFmtId="182" fontId="4" fillId="9" borderId="68" xfId="5" applyNumberFormat="1" applyFill="1" applyBorder="1" applyAlignment="1" applyProtection="1">
      <alignment horizontal="center" vertical="center"/>
      <protection locked="0"/>
    </xf>
    <xf numFmtId="182" fontId="4" fillId="9" borderId="54" xfId="5" applyNumberFormat="1" applyFill="1" applyBorder="1" applyAlignment="1" applyProtection="1">
      <alignment horizontal="center" vertical="center"/>
      <protection locked="0"/>
    </xf>
    <xf numFmtId="182" fontId="4" fillId="5" borderId="52" xfId="5" applyNumberFormat="1" applyFill="1" applyBorder="1" applyAlignment="1">
      <alignment horizontal="center" vertical="center"/>
    </xf>
    <xf numFmtId="182" fontId="4" fillId="5" borderId="57" xfId="5" applyNumberFormat="1" applyFill="1" applyBorder="1" applyAlignment="1">
      <alignment horizontal="center" vertical="center"/>
    </xf>
    <xf numFmtId="182" fontId="152" fillId="0" borderId="0" xfId="5" applyNumberFormat="1" applyFont="1" applyAlignment="1" applyProtection="1">
      <alignment vertical="center"/>
      <protection locked="0"/>
    </xf>
    <xf numFmtId="182" fontId="152" fillId="0" borderId="0" xfId="5" applyNumberFormat="1" applyFont="1" applyAlignment="1" applyProtection="1">
      <alignment horizontal="right" vertical="center"/>
      <protection locked="0"/>
    </xf>
    <xf numFmtId="182" fontId="4" fillId="5" borderId="81" xfId="4" applyNumberFormat="1" applyFill="1" applyBorder="1" applyAlignment="1">
      <alignment vertical="center"/>
    </xf>
    <xf numFmtId="182" fontId="152" fillId="5" borderId="51" xfId="5" applyNumberFormat="1" applyFont="1" applyFill="1" applyBorder="1" applyAlignment="1" applyProtection="1">
      <alignment horizontal="right" vertical="center"/>
      <protection locked="0"/>
    </xf>
    <xf numFmtId="182" fontId="152" fillId="5" borderId="52" xfId="5" applyNumberFormat="1" applyFont="1" applyFill="1" applyBorder="1" applyAlignment="1">
      <alignment horizontal="right" vertical="center"/>
    </xf>
    <xf numFmtId="182" fontId="152" fillId="5" borderId="53" xfId="5" applyNumberFormat="1" applyFont="1" applyFill="1" applyBorder="1" applyAlignment="1" applyProtection="1">
      <alignment vertical="center"/>
      <protection locked="0"/>
    </xf>
    <xf numFmtId="182" fontId="152" fillId="5" borderId="1" xfId="5" applyNumberFormat="1" applyFont="1" applyFill="1" applyBorder="1" applyAlignment="1" applyProtection="1">
      <alignment horizontal="right" vertical="center"/>
      <protection locked="0"/>
    </xf>
    <xf numFmtId="182" fontId="152" fillId="5" borderId="56" xfId="5" applyNumberFormat="1" applyFont="1" applyFill="1" applyBorder="1" applyAlignment="1" applyProtection="1">
      <alignment horizontal="right" vertical="center"/>
      <protection locked="0"/>
    </xf>
    <xf numFmtId="182" fontId="152" fillId="5" borderId="57" xfId="5" applyNumberFormat="1" applyFont="1" applyFill="1" applyBorder="1" applyAlignment="1">
      <alignment horizontal="right" vertical="center"/>
    </xf>
    <xf numFmtId="182" fontId="152" fillId="5" borderId="81" xfId="5" applyNumberFormat="1" applyFont="1" applyFill="1" applyBorder="1" applyAlignment="1" applyProtection="1">
      <alignment vertical="center"/>
      <protection locked="0"/>
    </xf>
    <xf numFmtId="182" fontId="152" fillId="5" borderId="98" xfId="5" applyNumberFormat="1" applyFont="1" applyFill="1" applyBorder="1" applyAlignment="1" applyProtection="1">
      <alignment horizontal="right" vertical="center"/>
      <protection locked="0"/>
    </xf>
    <xf numFmtId="182" fontId="152" fillId="5" borderId="23" xfId="5" applyNumberFormat="1" applyFont="1" applyFill="1" applyBorder="1" applyAlignment="1">
      <alignment horizontal="right" vertical="center"/>
    </xf>
    <xf numFmtId="182" fontId="152" fillId="11" borderId="56" xfId="5" applyNumberFormat="1" applyFont="1" applyFill="1" applyBorder="1" applyAlignment="1">
      <alignment horizontal="right" vertical="center"/>
    </xf>
    <xf numFmtId="182" fontId="152" fillId="5" borderId="67" xfId="5" applyNumberFormat="1" applyFont="1" applyFill="1" applyBorder="1" applyAlignment="1">
      <alignment horizontal="right" vertical="center"/>
    </xf>
    <xf numFmtId="182" fontId="30" fillId="5" borderId="23" xfId="5" applyNumberFormat="1" applyFont="1" applyFill="1" applyBorder="1" applyAlignment="1">
      <alignment horizontal="right" vertical="center"/>
    </xf>
    <xf numFmtId="182" fontId="153" fillId="0" borderId="0" xfId="5" applyNumberFormat="1" applyFont="1" applyAlignment="1">
      <alignment horizontal="right" vertical="center"/>
    </xf>
    <xf numFmtId="182" fontId="152" fillId="0" borderId="0" xfId="5" applyNumberFormat="1" applyFont="1" applyAlignment="1">
      <alignment horizontal="right" vertical="center"/>
    </xf>
    <xf numFmtId="182" fontId="152" fillId="5" borderId="50" xfId="5" applyNumberFormat="1" applyFont="1" applyFill="1" applyBorder="1" applyAlignment="1" applyProtection="1">
      <alignment vertical="center"/>
      <protection locked="0"/>
    </xf>
    <xf numFmtId="182" fontId="152" fillId="5" borderId="55" xfId="5" applyNumberFormat="1" applyFont="1" applyFill="1" applyBorder="1" applyAlignment="1" applyProtection="1">
      <alignment vertical="center"/>
      <protection locked="0"/>
    </xf>
    <xf numFmtId="182" fontId="152" fillId="5" borderId="89" xfId="5" applyNumberFormat="1" applyFont="1" applyFill="1" applyBorder="1" applyAlignment="1" applyProtection="1">
      <alignment horizontal="right" vertical="center"/>
      <protection locked="0"/>
    </xf>
    <xf numFmtId="182" fontId="152" fillId="5" borderId="51" xfId="5" applyNumberFormat="1" applyFont="1" applyFill="1" applyBorder="1" applyAlignment="1">
      <alignment horizontal="right" vertical="center"/>
    </xf>
    <xf numFmtId="182" fontId="152" fillId="5" borderId="87" xfId="5" applyNumberFormat="1" applyFont="1" applyFill="1" applyBorder="1" applyAlignment="1" applyProtection="1">
      <alignment horizontal="right" vertical="center"/>
      <protection locked="0"/>
    </xf>
    <xf numFmtId="182" fontId="152" fillId="5" borderId="87" xfId="5" applyNumberFormat="1" applyFont="1" applyFill="1" applyBorder="1" applyAlignment="1">
      <alignment horizontal="right" vertical="center"/>
    </xf>
    <xf numFmtId="182" fontId="152" fillId="5" borderId="88" xfId="5" applyNumberFormat="1" applyFont="1" applyFill="1" applyBorder="1" applyAlignment="1">
      <alignment horizontal="right" vertical="center"/>
    </xf>
    <xf numFmtId="182" fontId="30" fillId="5" borderId="88" xfId="5" applyNumberFormat="1" applyFont="1" applyFill="1" applyBorder="1" applyAlignment="1">
      <alignment horizontal="right" vertical="center"/>
    </xf>
    <xf numFmtId="182" fontId="152" fillId="5" borderId="89" xfId="5" applyNumberFormat="1" applyFont="1" applyFill="1" applyBorder="1" applyAlignment="1">
      <alignment horizontal="right" vertical="center"/>
    </xf>
    <xf numFmtId="182" fontId="152" fillId="5" borderId="56" xfId="5" applyNumberFormat="1" applyFont="1" applyFill="1" applyBorder="1" applyAlignment="1">
      <alignment horizontal="right" vertical="center"/>
    </xf>
    <xf numFmtId="182" fontId="30" fillId="5" borderId="89" xfId="5" applyNumberFormat="1" applyFont="1" applyFill="1" applyBorder="1" applyAlignment="1">
      <alignment horizontal="right" vertical="center"/>
    </xf>
    <xf numFmtId="182" fontId="152" fillId="0" borderId="34" xfId="5" applyNumberFormat="1" applyFont="1" applyBorder="1" applyAlignment="1">
      <alignment vertical="center"/>
    </xf>
    <xf numFmtId="182" fontId="152" fillId="0" borderId="46" xfId="5" applyNumberFormat="1" applyFont="1" applyBorder="1" applyAlignment="1">
      <alignment vertical="center"/>
    </xf>
    <xf numFmtId="182" fontId="152" fillId="5" borderId="50" xfId="5" applyNumberFormat="1" applyFont="1" applyFill="1" applyBorder="1" applyAlignment="1">
      <alignment vertical="center"/>
    </xf>
    <xf numFmtId="182" fontId="152" fillId="5" borderId="51" xfId="5" applyNumberFormat="1" applyFont="1" applyFill="1" applyBorder="1" applyAlignment="1">
      <alignment vertical="center"/>
    </xf>
    <xf numFmtId="182" fontId="152" fillId="5" borderId="55" xfId="5" applyNumberFormat="1" applyFont="1" applyFill="1" applyBorder="1" applyAlignment="1">
      <alignment vertical="center"/>
    </xf>
    <xf numFmtId="182" fontId="152" fillId="5" borderId="56" xfId="5" applyNumberFormat="1" applyFont="1" applyFill="1" applyBorder="1" applyAlignment="1">
      <alignment vertical="center"/>
    </xf>
    <xf numFmtId="182" fontId="152" fillId="9" borderId="82" xfId="5" applyNumberFormat="1" applyFont="1" applyFill="1" applyBorder="1" applyAlignment="1">
      <alignment vertical="center"/>
    </xf>
    <xf numFmtId="182" fontId="152" fillId="9" borderId="55" xfId="5" applyNumberFormat="1" applyFont="1" applyFill="1" applyBorder="1" applyAlignment="1">
      <alignment vertical="center"/>
    </xf>
    <xf numFmtId="182" fontId="152" fillId="9" borderId="56" xfId="5" applyNumberFormat="1" applyFont="1" applyFill="1" applyBorder="1" applyAlignment="1">
      <alignment vertical="center"/>
    </xf>
    <xf numFmtId="182" fontId="152" fillId="5" borderId="86" xfId="5" applyNumberFormat="1" applyFont="1" applyFill="1" applyBorder="1" applyAlignment="1" applyProtection="1">
      <alignment vertical="center"/>
      <protection locked="0"/>
    </xf>
    <xf numFmtId="182" fontId="152" fillId="5" borderId="86" xfId="5" applyNumberFormat="1" applyFont="1" applyFill="1" applyBorder="1" applyAlignment="1">
      <alignment vertical="center"/>
    </xf>
    <xf numFmtId="182" fontId="152" fillId="5" borderId="67" xfId="5" applyNumberFormat="1" applyFont="1" applyFill="1" applyBorder="1" applyAlignment="1">
      <alignment vertical="center"/>
    </xf>
    <xf numFmtId="182" fontId="152" fillId="0" borderId="0" xfId="5" applyNumberFormat="1" applyFont="1" applyAlignment="1">
      <alignment vertical="center"/>
    </xf>
    <xf numFmtId="182" fontId="152" fillId="5" borderId="69" xfId="5" applyNumberFormat="1" applyFont="1" applyFill="1" applyBorder="1" applyAlignment="1">
      <alignment vertical="center"/>
    </xf>
    <xf numFmtId="182" fontId="152" fillId="5" borderId="20" xfId="5" applyNumberFormat="1" applyFont="1" applyFill="1" applyBorder="1" applyAlignment="1">
      <alignment vertical="center"/>
    </xf>
    <xf numFmtId="182" fontId="152" fillId="5" borderId="98" xfId="5" applyNumberFormat="1" applyFont="1" applyFill="1" applyBorder="1" applyAlignment="1">
      <alignment vertical="center"/>
    </xf>
    <xf numFmtId="182" fontId="152" fillId="9" borderId="86" xfId="5" applyNumberFormat="1" applyFont="1" applyFill="1" applyBorder="1" applyAlignment="1">
      <alignment vertical="center"/>
    </xf>
    <xf numFmtId="182" fontId="152" fillId="5" borderId="81" xfId="5" applyNumberFormat="1" applyFont="1" applyFill="1" applyBorder="1" applyAlignment="1">
      <alignment vertical="center"/>
    </xf>
    <xf numFmtId="182" fontId="152" fillId="5" borderId="82" xfId="5" applyNumberFormat="1" applyFont="1" applyFill="1" applyBorder="1" applyAlignment="1">
      <alignment vertical="center"/>
    </xf>
    <xf numFmtId="182" fontId="4" fillId="0" borderId="22" xfId="5" applyNumberFormat="1" applyBorder="1" applyAlignment="1" applyProtection="1">
      <alignment horizontal="center" vertical="center"/>
      <protection locked="0"/>
    </xf>
    <xf numFmtId="182" fontId="4" fillId="0" borderId="22" xfId="5" applyNumberFormat="1" applyBorder="1" applyAlignment="1">
      <alignment horizontal="center" vertical="center"/>
    </xf>
    <xf numFmtId="182" fontId="152" fillId="0" borderId="0" xfId="5" applyNumberFormat="1" applyFont="1" applyAlignment="1">
      <alignment horizontal="center" vertical="center"/>
    </xf>
    <xf numFmtId="182" fontId="153" fillId="0" borderId="0" xfId="5" applyNumberFormat="1" applyFont="1" applyAlignment="1">
      <alignment horizontal="center" vertical="center"/>
    </xf>
    <xf numFmtId="182" fontId="152" fillId="0" borderId="0" xfId="5" applyNumberFormat="1" applyFont="1" applyAlignment="1" applyProtection="1">
      <alignment horizontal="center" vertical="center"/>
      <protection locked="0"/>
    </xf>
    <xf numFmtId="182" fontId="152" fillId="8" borderId="52" xfId="5" applyNumberFormat="1" applyFont="1" applyFill="1" applyBorder="1" applyAlignment="1" applyProtection="1">
      <alignment horizontal="center" vertical="center"/>
      <protection locked="0"/>
    </xf>
    <xf numFmtId="182" fontId="152" fillId="8" borderId="54" xfId="5" applyNumberFormat="1" applyFont="1" applyFill="1" applyBorder="1" applyAlignment="1" applyProtection="1">
      <alignment horizontal="center" vertical="center"/>
      <protection locked="0"/>
    </xf>
    <xf numFmtId="182" fontId="152" fillId="5" borderId="54" xfId="5" applyNumberFormat="1" applyFont="1" applyFill="1" applyBorder="1" applyAlignment="1" applyProtection="1">
      <alignment horizontal="center" vertical="center"/>
      <protection locked="0"/>
    </xf>
    <xf numFmtId="182" fontId="152" fillId="8" borderId="57" xfId="5" applyNumberFormat="1" applyFont="1" applyFill="1" applyBorder="1" applyAlignment="1" applyProtection="1">
      <alignment horizontal="center" vertical="center"/>
      <protection locked="0"/>
    </xf>
    <xf numFmtId="182" fontId="152" fillId="0" borderId="19" xfId="5" applyNumberFormat="1" applyFont="1" applyBorder="1" applyAlignment="1" applyProtection="1">
      <alignment horizontal="center" vertical="center"/>
      <protection locked="0"/>
    </xf>
    <xf numFmtId="182" fontId="152" fillId="8" borderId="87" xfId="5" applyNumberFormat="1" applyFont="1" applyFill="1" applyBorder="1" applyAlignment="1" applyProtection="1">
      <alignment horizontal="center" vertical="center"/>
      <protection locked="0"/>
    </xf>
    <xf numFmtId="182" fontId="152" fillId="8" borderId="88" xfId="5" applyNumberFormat="1" applyFont="1" applyFill="1" applyBorder="1" applyAlignment="1" applyProtection="1">
      <alignment horizontal="center" vertical="center"/>
      <protection locked="0"/>
    </xf>
    <xf numFmtId="182" fontId="152" fillId="5" borderId="88" xfId="5" applyNumberFormat="1" applyFont="1" applyFill="1" applyBorder="1" applyAlignment="1" applyProtection="1">
      <alignment horizontal="center" vertical="center"/>
      <protection locked="0"/>
    </xf>
    <xf numFmtId="182" fontId="152" fillId="8" borderId="99" xfId="5" applyNumberFormat="1" applyFont="1" applyFill="1" applyBorder="1" applyAlignment="1" applyProtection="1">
      <alignment horizontal="center" vertical="center"/>
      <protection locked="0"/>
    </xf>
    <xf numFmtId="182" fontId="152" fillId="5" borderId="89" xfId="5" applyNumberFormat="1" applyFont="1" applyFill="1" applyBorder="1" applyAlignment="1" applyProtection="1">
      <alignment horizontal="center" vertical="center"/>
      <protection locked="0"/>
    </xf>
    <xf numFmtId="182" fontId="152" fillId="8" borderId="68" xfId="5" applyNumberFormat="1" applyFont="1" applyFill="1" applyBorder="1" applyAlignment="1" applyProtection="1">
      <alignment horizontal="center" vertical="center"/>
      <protection locked="0"/>
    </xf>
    <xf numFmtId="182" fontId="152" fillId="5" borderId="52" xfId="5" applyNumberFormat="1" applyFont="1" applyFill="1" applyBorder="1" applyAlignment="1" applyProtection="1">
      <alignment horizontal="center" vertical="center"/>
      <protection locked="0"/>
    </xf>
    <xf numFmtId="182" fontId="152" fillId="5" borderId="57" xfId="5" applyNumberFormat="1" applyFont="1" applyFill="1" applyBorder="1" applyAlignment="1" applyProtection="1">
      <alignment horizontal="center" vertical="center"/>
      <protection locked="0"/>
    </xf>
    <xf numFmtId="182" fontId="152" fillId="9" borderId="52" xfId="5" applyNumberFormat="1" applyFont="1" applyFill="1" applyBorder="1" applyAlignment="1" applyProtection="1">
      <alignment horizontal="center" vertical="center"/>
      <protection locked="0"/>
    </xf>
    <xf numFmtId="182" fontId="152" fillId="9" borderId="57" xfId="5" applyNumberFormat="1" applyFont="1" applyFill="1" applyBorder="1" applyAlignment="1" applyProtection="1">
      <alignment horizontal="center" vertical="center"/>
      <protection locked="0"/>
    </xf>
    <xf numFmtId="182" fontId="152" fillId="9" borderId="68" xfId="5" applyNumberFormat="1" applyFont="1" applyFill="1" applyBorder="1" applyAlignment="1" applyProtection="1">
      <alignment horizontal="center" vertical="center"/>
      <protection locked="0"/>
    </xf>
    <xf numFmtId="182" fontId="152" fillId="9" borderId="54" xfId="5" applyNumberFormat="1" applyFont="1" applyFill="1" applyBorder="1" applyAlignment="1" applyProtection="1">
      <alignment horizontal="center" vertical="center"/>
      <protection locked="0"/>
    </xf>
    <xf numFmtId="182" fontId="152" fillId="5" borderId="68" xfId="5" applyNumberFormat="1" applyFont="1" applyFill="1" applyBorder="1" applyAlignment="1" applyProtection="1">
      <alignment horizontal="center" vertical="center"/>
      <protection locked="0"/>
    </xf>
    <xf numFmtId="182" fontId="154" fillId="0" borderId="0" xfId="5" applyNumberFormat="1" applyFont="1" applyAlignment="1">
      <alignment horizontal="center" vertical="center"/>
    </xf>
    <xf numFmtId="182" fontId="30" fillId="5" borderId="52" xfId="5" applyNumberFormat="1" applyFont="1" applyFill="1" applyBorder="1" applyAlignment="1">
      <alignment horizontal="center" vertical="center"/>
    </xf>
    <xf numFmtId="182" fontId="30" fillId="5" borderId="57" xfId="5" applyNumberFormat="1" applyFont="1" applyFill="1" applyBorder="1" applyAlignment="1">
      <alignment horizontal="center" vertical="center"/>
    </xf>
    <xf numFmtId="0" fontId="4" fillId="5" borderId="1" xfId="988" applyFill="1" applyBorder="1" applyProtection="1">
      <protection locked="0"/>
    </xf>
    <xf numFmtId="182" fontId="152" fillId="5" borderId="54" xfId="5" applyNumberFormat="1" applyFont="1" applyFill="1" applyBorder="1" applyAlignment="1">
      <alignment horizontal="right" vertical="center"/>
    </xf>
    <xf numFmtId="182" fontId="152" fillId="5" borderId="53" xfId="5" applyNumberFormat="1" applyFont="1" applyFill="1" applyBorder="1" applyAlignment="1">
      <alignment vertical="center"/>
    </xf>
    <xf numFmtId="182" fontId="152" fillId="5" borderId="1" xfId="5" applyNumberFormat="1" applyFont="1" applyFill="1" applyBorder="1" applyAlignment="1">
      <alignment horizontal="right" vertical="center"/>
    </xf>
    <xf numFmtId="183" fontId="4" fillId="0" borderId="0" xfId="0" applyNumberFormat="1" applyFont="1"/>
    <xf numFmtId="164" fontId="24" fillId="87" borderId="1" xfId="0" applyNumberFormat="1" applyFont="1" applyFill="1" applyBorder="1" applyAlignment="1" applyProtection="1">
      <alignment horizontal="center" vertical="top" wrapText="1"/>
      <protection locked="0"/>
    </xf>
    <xf numFmtId="183" fontId="155" fillId="0" borderId="0" xfId="0" applyNumberFormat="1" applyFont="1"/>
    <xf numFmtId="164" fontId="24" fillId="88" borderId="1" xfId="0" applyNumberFormat="1" applyFont="1" applyFill="1" applyBorder="1" applyAlignment="1">
      <alignment horizontal="center" vertical="top" wrapText="1"/>
    </xf>
    <xf numFmtId="0" fontId="156" fillId="0" borderId="0" xfId="0" applyFont="1"/>
    <xf numFmtId="49" fontId="6" fillId="0" borderId="0" xfId="458" applyNumberFormat="1" applyFont="1" applyAlignment="1">
      <alignment horizontal="left"/>
    </xf>
    <xf numFmtId="0" fontId="4" fillId="0" borderId="0" xfId="458"/>
    <xf numFmtId="49" fontId="4" fillId="0" borderId="0" xfId="458" applyNumberFormat="1"/>
    <xf numFmtId="0" fontId="44" fillId="0" borderId="0" xfId="458" applyFont="1"/>
    <xf numFmtId="49" fontId="14" fillId="3" borderId="4" xfId="458" applyNumberFormat="1" applyFont="1" applyFill="1" applyBorder="1" applyAlignment="1">
      <alignment horizontal="left"/>
    </xf>
    <xf numFmtId="0" fontId="14" fillId="3" borderId="4" xfId="458" applyFont="1" applyFill="1" applyBorder="1" applyAlignment="1">
      <alignment horizontal="left"/>
    </xf>
    <xf numFmtId="0" fontId="14" fillId="3" borderId="4" xfId="458" applyFont="1" applyFill="1" applyBorder="1" applyAlignment="1">
      <alignment horizontal="center"/>
    </xf>
    <xf numFmtId="0" fontId="14" fillId="3" borderId="5" xfId="458" applyFont="1" applyFill="1" applyBorder="1" applyAlignment="1">
      <alignment horizontal="center"/>
    </xf>
    <xf numFmtId="0" fontId="19" fillId="3" borderId="4" xfId="458" applyFont="1" applyFill="1" applyBorder="1" applyAlignment="1">
      <alignment horizontal="center" vertical="top"/>
    </xf>
    <xf numFmtId="49" fontId="14" fillId="3" borderId="18" xfId="458" applyNumberFormat="1" applyFont="1" applyFill="1" applyBorder="1" applyAlignment="1">
      <alignment horizontal="left"/>
    </xf>
    <xf numFmtId="0" fontId="14" fillId="3" borderId="18" xfId="458" applyFont="1" applyFill="1" applyBorder="1" applyAlignment="1">
      <alignment horizontal="left"/>
    </xf>
    <xf numFmtId="0" fontId="14" fillId="3" borderId="18" xfId="458" applyFont="1" applyFill="1" applyBorder="1" applyAlignment="1">
      <alignment horizontal="center"/>
    </xf>
    <xf numFmtId="0" fontId="14" fillId="3" borderId="19" xfId="458" applyFont="1" applyFill="1" applyBorder="1" applyAlignment="1">
      <alignment horizontal="center"/>
    </xf>
    <xf numFmtId="0" fontId="19" fillId="3" borderId="18" xfId="458" applyFont="1" applyFill="1" applyBorder="1" applyAlignment="1">
      <alignment horizontal="center" vertical="top"/>
    </xf>
    <xf numFmtId="49" fontId="11" fillId="0" borderId="1" xfId="458" applyNumberFormat="1" applyFont="1" applyBorder="1" applyAlignment="1">
      <alignment horizontal="center" vertical="top"/>
    </xf>
    <xf numFmtId="0" fontId="11" fillId="0" borderId="1" xfId="458" applyFont="1" applyBorder="1" applyAlignment="1">
      <alignment vertical="top"/>
    </xf>
    <xf numFmtId="0" fontId="11" fillId="0" borderId="1" xfId="458" applyFont="1" applyBorder="1" applyAlignment="1">
      <alignment horizontal="center" vertical="top"/>
    </xf>
    <xf numFmtId="0" fontId="11" fillId="0" borderId="1" xfId="458" applyFont="1" applyBorder="1" applyAlignment="1">
      <alignment horizontal="center" vertical="top" wrapText="1"/>
    </xf>
    <xf numFmtId="164" fontId="11" fillId="5" borderId="1" xfId="458" applyNumberFormat="1" applyFont="1" applyFill="1" applyBorder="1" applyAlignment="1" applyProtection="1">
      <alignment horizontal="center" vertical="top"/>
      <protection locked="0"/>
    </xf>
    <xf numFmtId="164" fontId="4" fillId="0" borderId="0" xfId="458" applyNumberFormat="1"/>
    <xf numFmtId="0" fontId="3" fillId="0" borderId="1" xfId="458" applyFont="1" applyBorder="1" applyAlignment="1">
      <alignment vertical="top"/>
    </xf>
    <xf numFmtId="0" fontId="17" fillId="0" borderId="0" xfId="458" applyFont="1" applyAlignment="1">
      <alignment horizontal="center" vertical="top"/>
    </xf>
    <xf numFmtId="0" fontId="3" fillId="0" borderId="0" xfId="458" applyFont="1"/>
    <xf numFmtId="0" fontId="3" fillId="0" borderId="1" xfId="458" applyFont="1" applyBorder="1"/>
    <xf numFmtId="0" fontId="4" fillId="0" borderId="1" xfId="458" applyBorder="1"/>
    <xf numFmtId="0" fontId="14" fillId="0" borderId="1" xfId="458" applyFont="1" applyBorder="1"/>
    <xf numFmtId="0" fontId="37" fillId="0" borderId="0" xfId="458" applyFont="1"/>
    <xf numFmtId="164" fontId="0" fillId="0" borderId="0" xfId="0" applyNumberFormat="1"/>
    <xf numFmtId="0" fontId="19" fillId="3" borderId="4" xfId="458" quotePrefix="1" applyFont="1" applyFill="1" applyBorder="1" applyAlignment="1">
      <alignment horizontal="center" vertical="top"/>
    </xf>
    <xf numFmtId="14" fontId="1" fillId="0" borderId="1" xfId="622" applyNumberFormat="1" applyFont="1" applyBorder="1" applyAlignment="1">
      <alignment horizontal="right"/>
    </xf>
    <xf numFmtId="14" fontId="4" fillId="0" borderId="0" xfId="2" quotePrefix="1" applyNumberFormat="1"/>
    <xf numFmtId="165" fontId="28" fillId="2" borderId="1" xfId="0" applyNumberFormat="1" applyFont="1" applyFill="1" applyBorder="1"/>
    <xf numFmtId="182" fontId="4" fillId="7" borderId="52" xfId="5" applyNumberFormat="1" applyFill="1" applyBorder="1" applyAlignment="1">
      <alignment vertical="center"/>
    </xf>
    <xf numFmtId="182" fontId="4" fillId="2" borderId="81" xfId="5" applyNumberFormat="1" applyFill="1" applyBorder="1" applyAlignment="1">
      <alignment vertical="center"/>
    </xf>
    <xf numFmtId="182" fontId="4" fillId="2" borderId="50" xfId="5" applyNumberFormat="1" applyFill="1" applyBorder="1" applyAlignment="1">
      <alignment vertical="center"/>
    </xf>
    <xf numFmtId="182" fontId="4" fillId="7" borderId="54" xfId="5" applyNumberFormat="1" applyFill="1" applyBorder="1" applyAlignment="1">
      <alignment vertical="center"/>
    </xf>
    <xf numFmtId="182" fontId="4" fillId="2" borderId="86" xfId="5" applyNumberFormat="1" applyFill="1" applyBorder="1" applyAlignment="1">
      <alignment vertical="center"/>
    </xf>
    <xf numFmtId="182" fontId="4" fillId="2" borderId="53" xfId="5" applyNumberFormat="1" applyFill="1" applyBorder="1" applyAlignment="1">
      <alignment vertical="center"/>
    </xf>
    <xf numFmtId="182" fontId="4" fillId="7" borderId="57" xfId="5" applyNumberFormat="1" applyFill="1" applyBorder="1" applyAlignment="1">
      <alignment vertical="center"/>
    </xf>
    <xf numFmtId="182" fontId="4" fillId="7" borderId="68" xfId="5" applyNumberFormat="1" applyFill="1" applyBorder="1" applyAlignment="1">
      <alignment vertical="center"/>
    </xf>
    <xf numFmtId="182" fontId="4" fillId="2" borderId="82" xfId="5" applyNumberFormat="1" applyFill="1" applyBorder="1" applyAlignment="1">
      <alignment vertical="center"/>
    </xf>
    <xf numFmtId="182" fontId="4" fillId="2" borderId="55" xfId="5" applyNumberFormat="1" applyFill="1" applyBorder="1" applyAlignment="1">
      <alignment vertical="center"/>
    </xf>
    <xf numFmtId="182" fontId="21" fillId="0" borderId="0" xfId="5" applyNumberFormat="1" applyFont="1" applyAlignment="1">
      <alignment horizontal="center" vertical="center" wrapText="1"/>
    </xf>
    <xf numFmtId="182" fontId="4" fillId="2" borderId="52" xfId="5" applyNumberFormat="1" applyFill="1" applyBorder="1" applyAlignment="1">
      <alignment vertical="center"/>
    </xf>
    <xf numFmtId="182" fontId="4" fillId="7" borderId="50" xfId="5" applyNumberFormat="1" applyFill="1" applyBorder="1" applyAlignment="1">
      <alignment vertical="center"/>
    </xf>
    <xf numFmtId="182" fontId="4" fillId="2" borderId="54" xfId="5" applyNumberFormat="1" applyFill="1" applyBorder="1" applyAlignment="1">
      <alignment vertical="center"/>
    </xf>
    <xf numFmtId="182" fontId="4" fillId="7" borderId="53" xfId="5" applyNumberFormat="1" applyFill="1" applyBorder="1" applyAlignment="1">
      <alignment vertical="center"/>
    </xf>
    <xf numFmtId="182" fontId="4" fillId="2" borderId="57" xfId="5" applyNumberFormat="1" applyFill="1" applyBorder="1" applyAlignment="1">
      <alignment vertical="center"/>
    </xf>
    <xf numFmtId="182" fontId="4" fillId="7" borderId="55" xfId="5" applyNumberFormat="1" applyFill="1" applyBorder="1" applyAlignment="1">
      <alignment vertical="center"/>
    </xf>
    <xf numFmtId="182" fontId="4" fillId="2" borderId="20" xfId="5" applyNumberFormat="1" applyFill="1" applyBorder="1" applyAlignment="1">
      <alignment vertical="center"/>
    </xf>
    <xf numFmtId="182" fontId="4" fillId="2" borderId="51" xfId="5" applyNumberFormat="1" applyFill="1" applyBorder="1" applyAlignment="1">
      <alignment vertical="center"/>
    </xf>
    <xf numFmtId="182" fontId="4" fillId="7" borderId="81" xfId="5" applyNumberFormat="1" applyFill="1" applyBorder="1" applyAlignment="1">
      <alignment vertical="center"/>
    </xf>
    <xf numFmtId="182" fontId="4" fillId="7" borderId="51" xfId="5" applyNumberFormat="1" applyFill="1" applyBorder="1" applyAlignment="1">
      <alignment vertical="center"/>
    </xf>
    <xf numFmtId="182" fontId="4" fillId="2" borderId="57" xfId="5" applyNumberFormat="1" applyFill="1" applyBorder="1" applyAlignment="1" applyProtection="1">
      <alignment vertical="center"/>
      <protection locked="0"/>
    </xf>
    <xf numFmtId="182" fontId="4" fillId="10" borderId="69" xfId="5" applyNumberFormat="1" applyFill="1" applyBorder="1" applyAlignment="1">
      <alignment vertical="center"/>
    </xf>
    <xf numFmtId="182" fontId="4" fillId="10" borderId="67" xfId="5" applyNumberFormat="1" applyFill="1" applyBorder="1" applyAlignment="1">
      <alignment vertical="center"/>
    </xf>
    <xf numFmtId="182" fontId="4" fillId="10" borderId="68" xfId="5" applyNumberFormat="1" applyFill="1" applyBorder="1" applyAlignment="1">
      <alignment vertical="center"/>
    </xf>
    <xf numFmtId="182" fontId="4" fillId="10" borderId="92" xfId="5" applyNumberFormat="1" applyFill="1" applyBorder="1" applyAlignment="1">
      <alignment vertical="center"/>
    </xf>
    <xf numFmtId="182" fontId="4" fillId="10" borderId="20" xfId="5" applyNumberFormat="1" applyFill="1" applyBorder="1" applyAlignment="1">
      <alignment vertical="center"/>
    </xf>
    <xf numFmtId="182" fontId="4" fillId="7" borderId="69" xfId="5" applyNumberFormat="1" applyFill="1" applyBorder="1" applyAlignment="1">
      <alignment vertical="center"/>
    </xf>
    <xf numFmtId="182" fontId="4" fillId="2" borderId="50" xfId="5" applyNumberFormat="1" applyFill="1" applyBorder="1" applyAlignment="1" applyProtection="1">
      <alignment vertical="center"/>
      <protection locked="0"/>
    </xf>
    <xf numFmtId="182" fontId="4" fillId="2" borderId="86" xfId="5" applyNumberFormat="1" applyFill="1" applyBorder="1" applyAlignment="1" applyProtection="1">
      <alignment vertical="center"/>
      <protection locked="0"/>
    </xf>
    <xf numFmtId="182" fontId="4" fillId="2" borderId="69" xfId="5" applyNumberFormat="1" applyFill="1" applyBorder="1" applyAlignment="1">
      <alignment horizontal="right" vertical="center"/>
    </xf>
    <xf numFmtId="182" fontId="4" fillId="0" borderId="29" xfId="5" applyNumberFormat="1" applyBorder="1" applyAlignment="1">
      <alignment vertical="center"/>
    </xf>
    <xf numFmtId="182" fontId="4" fillId="2" borderId="55" xfId="5" applyNumberFormat="1" applyFill="1" applyBorder="1" applyAlignment="1" applyProtection="1">
      <alignment vertical="center"/>
      <protection locked="0"/>
    </xf>
    <xf numFmtId="182" fontId="4" fillId="2" borderId="69" xfId="5" applyNumberFormat="1" applyFill="1" applyBorder="1" applyAlignment="1">
      <alignment vertical="center"/>
    </xf>
    <xf numFmtId="182" fontId="4" fillId="2" borderId="81" xfId="5" applyNumberFormat="1" applyFill="1" applyBorder="1" applyAlignment="1" applyProtection="1">
      <alignment vertical="center"/>
      <protection locked="0"/>
    </xf>
    <xf numFmtId="182" fontId="4" fillId="7" borderId="55" xfId="5" applyNumberFormat="1" applyFill="1" applyBorder="1" applyAlignment="1" applyProtection="1">
      <alignment vertical="center"/>
      <protection locked="0"/>
    </xf>
    <xf numFmtId="182" fontId="122" fillId="0" borderId="0" xfId="5" applyNumberFormat="1" applyFont="1" applyAlignment="1">
      <alignment vertical="center"/>
    </xf>
    <xf numFmtId="182" fontId="4" fillId="2" borderId="52" xfId="5" applyNumberFormat="1" applyFill="1" applyBorder="1" applyAlignment="1" applyProtection="1">
      <alignment vertical="center"/>
      <protection locked="0"/>
    </xf>
    <xf numFmtId="182" fontId="4" fillId="2" borderId="68" xfId="5" applyNumberFormat="1" applyFill="1" applyBorder="1" applyAlignment="1">
      <alignment vertical="center"/>
    </xf>
    <xf numFmtId="182" fontId="4" fillId="2" borderId="94" xfId="5" applyNumberFormat="1" applyFill="1" applyBorder="1" applyAlignment="1">
      <alignment vertical="center"/>
    </xf>
    <xf numFmtId="182" fontId="4" fillId="2" borderId="53" xfId="5" applyNumberFormat="1" applyFill="1" applyBorder="1" applyAlignment="1" applyProtection="1">
      <alignment vertical="center"/>
      <protection locked="0"/>
    </xf>
    <xf numFmtId="182" fontId="4" fillId="5" borderId="86" xfId="5" applyNumberFormat="1" applyFill="1" applyBorder="1" applyAlignment="1">
      <alignment horizontal="center" vertical="center"/>
    </xf>
    <xf numFmtId="182" fontId="4" fillId="2" borderId="46" xfId="5" applyNumberFormat="1" applyFill="1" applyBorder="1" applyAlignment="1">
      <alignment vertical="center"/>
    </xf>
    <xf numFmtId="182" fontId="4" fillId="2" borderId="95" xfId="5" applyNumberFormat="1" applyFill="1" applyBorder="1" applyAlignment="1">
      <alignment vertical="center"/>
    </xf>
    <xf numFmtId="182" fontId="4" fillId="2" borderId="96" xfId="5" applyNumberFormat="1" applyFill="1" applyBorder="1" applyAlignment="1">
      <alignment vertical="center"/>
    </xf>
    <xf numFmtId="182" fontId="14" fillId="0" borderId="0" xfId="5" applyNumberFormat="1" applyFont="1" applyAlignment="1">
      <alignment vertical="center"/>
    </xf>
    <xf numFmtId="182" fontId="4" fillId="0" borderId="0" xfId="5" applyNumberFormat="1" applyAlignment="1">
      <alignment horizontal="centerContinuous" vertical="center"/>
    </xf>
    <xf numFmtId="182" fontId="4" fillId="0" borderId="0" xfId="5" applyNumberFormat="1" applyAlignment="1">
      <alignment horizontal="right" vertical="center"/>
    </xf>
    <xf numFmtId="182" fontId="4" fillId="2" borderId="20" xfId="5" applyNumberFormat="1" applyFill="1" applyBorder="1" applyAlignment="1">
      <alignment horizontal="right" vertical="center"/>
    </xf>
    <xf numFmtId="182" fontId="152" fillId="2" borderId="50" xfId="5" applyNumberFormat="1" applyFont="1" applyFill="1" applyBorder="1" applyAlignment="1">
      <alignment vertical="center"/>
    </xf>
    <xf numFmtId="182" fontId="152" fillId="2" borderId="53" xfId="5" applyNumberFormat="1" applyFont="1" applyFill="1" applyBorder="1" applyAlignment="1">
      <alignment vertical="center"/>
    </xf>
    <xf numFmtId="182" fontId="152" fillId="2" borderId="86" xfId="5" applyNumberFormat="1" applyFont="1" applyFill="1" applyBorder="1" applyAlignment="1">
      <alignment vertical="center"/>
    </xf>
    <xf numFmtId="182" fontId="152" fillId="2" borderId="55" xfId="5" applyNumberFormat="1" applyFont="1" applyFill="1" applyBorder="1" applyAlignment="1">
      <alignment vertical="center"/>
    </xf>
    <xf numFmtId="182" fontId="152" fillId="0" borderId="2" xfId="5" applyNumberFormat="1" applyFont="1" applyBorder="1" applyAlignment="1">
      <alignment vertical="center"/>
    </xf>
    <xf numFmtId="182" fontId="4" fillId="2" borderId="87" xfId="5" applyNumberFormat="1" applyFill="1" applyBorder="1" applyAlignment="1">
      <alignment vertical="center"/>
    </xf>
    <xf numFmtId="182" fontId="152" fillId="7" borderId="50" xfId="5" applyNumberFormat="1" applyFont="1" applyFill="1" applyBorder="1" applyAlignment="1">
      <alignment vertical="center"/>
    </xf>
    <xf numFmtId="182" fontId="4" fillId="2" borderId="88" xfId="5" applyNumberFormat="1" applyFill="1" applyBorder="1" applyAlignment="1">
      <alignment vertical="center"/>
    </xf>
    <xf numFmtId="182" fontId="152" fillId="7" borderId="53" xfId="5" applyNumberFormat="1" applyFont="1" applyFill="1" applyBorder="1" applyAlignment="1">
      <alignment vertical="center"/>
    </xf>
    <xf numFmtId="182" fontId="152" fillId="2" borderId="88" xfId="5" applyNumberFormat="1" applyFont="1" applyFill="1" applyBorder="1" applyAlignment="1">
      <alignment vertical="center"/>
    </xf>
    <xf numFmtId="182" fontId="152" fillId="7" borderId="88" xfId="5" applyNumberFormat="1" applyFont="1" applyFill="1" applyBorder="1" applyAlignment="1">
      <alignment vertical="center"/>
    </xf>
    <xf numFmtId="182" fontId="152" fillId="2" borderId="89" xfId="5" applyNumberFormat="1" applyFont="1" applyFill="1" applyBorder="1" applyAlignment="1">
      <alignment vertical="center"/>
    </xf>
    <xf numFmtId="182" fontId="152" fillId="2" borderId="82" xfId="5" applyNumberFormat="1" applyFont="1" applyFill="1" applyBorder="1" applyAlignment="1">
      <alignment vertical="center"/>
    </xf>
    <xf numFmtId="182" fontId="152" fillId="2" borderId="87" xfId="5" applyNumberFormat="1" applyFont="1" applyFill="1" applyBorder="1" applyAlignment="1">
      <alignment vertical="center"/>
    </xf>
    <xf numFmtId="182" fontId="152" fillId="2" borderId="51" xfId="5" applyNumberFormat="1" applyFont="1" applyFill="1" applyBorder="1" applyAlignment="1">
      <alignment horizontal="right" vertical="center"/>
    </xf>
    <xf numFmtId="182" fontId="152" fillId="2" borderId="87" xfId="5" applyNumberFormat="1" applyFont="1" applyFill="1" applyBorder="1" applyAlignment="1">
      <alignment horizontal="right" vertical="center"/>
    </xf>
    <xf numFmtId="182" fontId="152" fillId="2" borderId="81" xfId="5" applyNumberFormat="1" applyFont="1" applyFill="1" applyBorder="1" applyAlignment="1">
      <alignment vertical="center"/>
    </xf>
    <xf numFmtId="182" fontId="152" fillId="7" borderId="81" xfId="5" applyNumberFormat="1" applyFont="1" applyFill="1" applyBorder="1" applyAlignment="1">
      <alignment vertical="center"/>
    </xf>
    <xf numFmtId="182" fontId="152" fillId="7" borderId="51" xfId="5" applyNumberFormat="1" applyFont="1" applyFill="1" applyBorder="1" applyAlignment="1">
      <alignment vertical="center"/>
    </xf>
    <xf numFmtId="182" fontId="152" fillId="7" borderId="87" xfId="5" applyNumberFormat="1" applyFont="1" applyFill="1" applyBorder="1" applyAlignment="1">
      <alignment vertical="center"/>
    </xf>
    <xf numFmtId="182" fontId="152" fillId="7" borderId="89" xfId="5" applyNumberFormat="1" applyFont="1" applyFill="1" applyBorder="1" applyAlignment="1">
      <alignment vertical="center"/>
    </xf>
    <xf numFmtId="182" fontId="152" fillId="7" borderId="55" xfId="5" applyNumberFormat="1" applyFont="1" applyFill="1" applyBorder="1" applyAlignment="1">
      <alignment vertical="center"/>
    </xf>
    <xf numFmtId="182" fontId="152" fillId="10" borderId="21" xfId="5" applyNumberFormat="1" applyFont="1" applyFill="1" applyBorder="1" applyAlignment="1">
      <alignment vertical="center"/>
    </xf>
    <xf numFmtId="182" fontId="152" fillId="2" borderId="67" xfId="5" applyNumberFormat="1" applyFont="1" applyFill="1" applyBorder="1" applyAlignment="1">
      <alignment horizontal="right" vertical="center"/>
    </xf>
    <xf numFmtId="182" fontId="152" fillId="10" borderId="23" xfId="5" applyNumberFormat="1" applyFont="1" applyFill="1" applyBorder="1" applyAlignment="1">
      <alignment horizontal="right" vertical="center"/>
    </xf>
    <xf numFmtId="182" fontId="152" fillId="2" borderId="20" xfId="5" applyNumberFormat="1" applyFont="1" applyFill="1" applyBorder="1" applyAlignment="1">
      <alignment vertical="center"/>
    </xf>
    <xf numFmtId="182" fontId="152" fillId="10" borderId="20" xfId="5" applyNumberFormat="1" applyFont="1" applyFill="1" applyBorder="1" applyAlignment="1">
      <alignment vertical="center"/>
    </xf>
    <xf numFmtId="182" fontId="152" fillId="10" borderId="67" xfId="5" applyNumberFormat="1" applyFont="1" applyFill="1" applyBorder="1" applyAlignment="1">
      <alignment vertical="center"/>
    </xf>
    <xf numFmtId="182" fontId="152" fillId="10" borderId="23" xfId="5" applyNumberFormat="1" applyFont="1" applyFill="1" applyBorder="1" applyAlignment="1">
      <alignment vertical="center"/>
    </xf>
    <xf numFmtId="182" fontId="152" fillId="7" borderId="69" xfId="5" applyNumberFormat="1" applyFont="1" applyFill="1" applyBorder="1" applyAlignment="1">
      <alignment vertical="center"/>
    </xf>
    <xf numFmtId="182" fontId="152" fillId="2" borderId="50" xfId="5" applyNumberFormat="1" applyFont="1" applyFill="1" applyBorder="1" applyAlignment="1" applyProtection="1">
      <alignment vertical="center"/>
      <protection locked="0"/>
    </xf>
    <xf numFmtId="182" fontId="152" fillId="2" borderId="86" xfId="5" applyNumberFormat="1" applyFont="1" applyFill="1" applyBorder="1" applyAlignment="1" applyProtection="1">
      <alignment vertical="center"/>
      <protection locked="0"/>
    </xf>
    <xf numFmtId="182" fontId="152" fillId="2" borderId="20" xfId="5" applyNumberFormat="1" applyFont="1" applyFill="1" applyBorder="1" applyAlignment="1">
      <alignment horizontal="right" vertical="center"/>
    </xf>
    <xf numFmtId="182" fontId="152" fillId="2" borderId="53" xfId="5" applyNumberFormat="1" applyFont="1" applyFill="1" applyBorder="1" applyAlignment="1" applyProtection="1">
      <alignment vertical="center"/>
      <protection locked="0"/>
    </xf>
    <xf numFmtId="182" fontId="152" fillId="2" borderId="81" xfId="5" applyNumberFormat="1" applyFont="1" applyFill="1" applyBorder="1" applyAlignment="1" applyProtection="1">
      <alignment vertical="center"/>
      <protection locked="0"/>
    </xf>
    <xf numFmtId="182" fontId="152" fillId="7" borderId="55" xfId="5" applyNumberFormat="1" applyFont="1" applyFill="1" applyBorder="1" applyAlignment="1" applyProtection="1">
      <alignment vertical="center"/>
      <protection locked="0"/>
    </xf>
    <xf numFmtId="182" fontId="152" fillId="0" borderId="22" xfId="5" applyNumberFormat="1" applyFont="1" applyBorder="1" applyAlignment="1">
      <alignment vertical="center"/>
    </xf>
    <xf numFmtId="182" fontId="152" fillId="2" borderId="69" xfId="5" applyNumberFormat="1" applyFont="1" applyFill="1" applyBorder="1" applyAlignment="1">
      <alignment vertical="center"/>
    </xf>
    <xf numFmtId="182" fontId="152" fillId="2" borderId="67" xfId="5" applyNumberFormat="1" applyFont="1" applyFill="1" applyBorder="1" applyAlignment="1">
      <alignment vertical="center"/>
    </xf>
    <xf numFmtId="182" fontId="152" fillId="2" borderId="23" xfId="5" applyNumberFormat="1" applyFont="1" applyFill="1" applyBorder="1" applyAlignment="1">
      <alignment vertical="center"/>
    </xf>
    <xf numFmtId="182" fontId="152" fillId="2" borderId="94" xfId="5" applyNumberFormat="1" applyFont="1" applyFill="1" applyBorder="1" applyAlignment="1">
      <alignment vertical="center"/>
    </xf>
    <xf numFmtId="182" fontId="152" fillId="7" borderId="53" xfId="5" applyNumberFormat="1" applyFont="1" applyFill="1" applyBorder="1" applyAlignment="1" applyProtection="1">
      <alignment vertical="center"/>
      <protection locked="0"/>
    </xf>
    <xf numFmtId="182" fontId="157" fillId="0" borderId="0" xfId="5" applyNumberFormat="1" applyFont="1" applyAlignment="1">
      <alignment horizontal="right" vertical="center"/>
    </xf>
    <xf numFmtId="182" fontId="158" fillId="0" borderId="0" xfId="5" applyNumberFormat="1" applyFont="1" applyAlignment="1">
      <alignment horizontal="right" vertical="center"/>
    </xf>
    <xf numFmtId="182" fontId="159" fillId="0" borderId="0" xfId="5" applyNumberFormat="1" applyFont="1" applyAlignment="1">
      <alignment horizontal="right" vertical="center"/>
    </xf>
    <xf numFmtId="182" fontId="152" fillId="2" borderId="23" xfId="5" applyNumberFormat="1" applyFont="1" applyFill="1" applyBorder="1" applyAlignment="1">
      <alignment horizontal="right" vertical="center"/>
    </xf>
    <xf numFmtId="182" fontId="158" fillId="0" borderId="0" xfId="5" applyNumberFormat="1" applyFont="1" applyAlignment="1">
      <alignment vertical="center"/>
    </xf>
    <xf numFmtId="182" fontId="4" fillId="2" borderId="67" xfId="5" applyNumberFormat="1" applyFill="1" applyBorder="1" applyAlignment="1">
      <alignment horizontal="right" vertical="center"/>
    </xf>
    <xf numFmtId="164" fontId="4" fillId="0" borderId="0" xfId="2" applyNumberFormat="1" applyAlignment="1">
      <alignment horizontal="center"/>
    </xf>
    <xf numFmtId="49" fontId="24" fillId="0" borderId="1" xfId="458" applyNumberFormat="1" applyFont="1" applyBorder="1" applyAlignment="1">
      <alignment horizontal="center" vertical="top"/>
    </xf>
    <xf numFmtId="0" fontId="4" fillId="0" borderId="1" xfId="458" applyBorder="1" applyAlignment="1">
      <alignment vertical="top"/>
    </xf>
    <xf numFmtId="164" fontId="24" fillId="5" borderId="1" xfId="458" applyNumberFormat="1" applyFont="1" applyFill="1" applyBorder="1" applyAlignment="1" applyProtection="1">
      <alignment horizontal="center" vertical="top"/>
      <protection locked="0"/>
    </xf>
    <xf numFmtId="164" fontId="24" fillId="2" borderId="1" xfId="458" applyNumberFormat="1" applyFont="1" applyFill="1" applyBorder="1" applyAlignment="1">
      <alignment horizontal="center" vertical="top"/>
    </xf>
    <xf numFmtId="164" fontId="24" fillId="5" borderId="1" xfId="458" applyNumberFormat="1" applyFont="1" applyFill="1" applyBorder="1" applyAlignment="1" applyProtection="1">
      <alignment horizontal="center" vertical="top" wrapText="1"/>
      <protection locked="0"/>
    </xf>
    <xf numFmtId="49" fontId="14" fillId="0" borderId="1" xfId="458" applyNumberFormat="1" applyFont="1" applyBorder="1"/>
    <xf numFmtId="49" fontId="19" fillId="0" borderId="1" xfId="458" applyNumberFormat="1" applyFont="1" applyBorder="1" applyAlignment="1">
      <alignment horizontal="center" vertical="top"/>
    </xf>
    <xf numFmtId="0" fontId="14" fillId="0" borderId="1" xfId="458" applyFont="1" applyBorder="1" applyAlignment="1">
      <alignment vertical="top"/>
    </xf>
    <xf numFmtId="164" fontId="24" fillId="88" borderId="1" xfId="458" applyNumberFormat="1" applyFont="1" applyFill="1" applyBorder="1" applyAlignment="1" applyProtection="1">
      <alignment horizontal="center" vertical="top"/>
      <protection locked="0"/>
    </xf>
    <xf numFmtId="164" fontId="19" fillId="88" borderId="1" xfId="458" applyNumberFormat="1" applyFont="1" applyFill="1" applyBorder="1" applyAlignment="1" applyProtection="1">
      <alignment horizontal="center" vertical="top"/>
      <protection locked="0"/>
    </xf>
    <xf numFmtId="0" fontId="10" fillId="3" borderId="8" xfId="0" quotePrefix="1" applyFont="1" applyFill="1" applyBorder="1" applyAlignment="1">
      <alignment horizontal="center" vertical="top" wrapText="1"/>
    </xf>
    <xf numFmtId="0" fontId="10" fillId="3" borderId="71" xfId="0" quotePrefix="1" applyFont="1" applyFill="1" applyBorder="1" applyAlignment="1">
      <alignment horizontal="center" vertical="top" wrapText="1"/>
    </xf>
    <xf numFmtId="0" fontId="10" fillId="3" borderId="7" xfId="0" quotePrefix="1" applyFont="1" applyFill="1" applyBorder="1" applyAlignment="1">
      <alignment horizontal="center" vertical="top" wrapText="1"/>
    </xf>
    <xf numFmtId="0" fontId="10" fillId="3" borderId="1" xfId="0" quotePrefix="1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/>
    </xf>
    <xf numFmtId="0" fontId="14" fillId="3" borderId="71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14" fillId="3" borderId="8" xfId="0" quotePrefix="1" applyFont="1" applyFill="1" applyBorder="1" applyAlignment="1">
      <alignment horizontal="right"/>
    </xf>
    <xf numFmtId="0" fontId="14" fillId="3" borderId="71" xfId="0" quotePrefix="1" applyFont="1" applyFill="1" applyBorder="1" applyAlignment="1">
      <alignment horizontal="right"/>
    </xf>
    <xf numFmtId="0" fontId="14" fillId="3" borderId="1" xfId="5" quotePrefix="1" applyFont="1" applyFill="1" applyBorder="1" applyAlignment="1">
      <alignment horizontal="center" vertical="center"/>
    </xf>
    <xf numFmtId="0" fontId="14" fillId="3" borderId="1" xfId="5" applyFont="1" applyFill="1" applyBorder="1" applyAlignment="1">
      <alignment horizontal="center" vertical="center"/>
    </xf>
    <xf numFmtId="0" fontId="14" fillId="3" borderId="24" xfId="5" applyFont="1" applyFill="1" applyBorder="1" applyAlignment="1">
      <alignment horizontal="center" vertical="center"/>
    </xf>
    <xf numFmtId="0" fontId="14" fillId="3" borderId="31" xfId="5" applyFont="1" applyFill="1" applyBorder="1" applyAlignment="1">
      <alignment horizontal="center" vertical="center"/>
    </xf>
    <xf numFmtId="0" fontId="14" fillId="3" borderId="25" xfId="5" applyFont="1" applyFill="1" applyBorder="1" applyAlignment="1">
      <alignment horizontal="center" vertical="center"/>
    </xf>
    <xf numFmtId="0" fontId="14" fillId="0" borderId="21" xfId="5" applyFont="1" applyBorder="1" applyAlignment="1">
      <alignment horizontal="center" vertical="center"/>
    </xf>
    <xf numFmtId="0" fontId="14" fillId="0" borderId="22" xfId="5" applyFont="1" applyBorder="1" applyAlignment="1">
      <alignment horizontal="center" vertical="center"/>
    </xf>
    <xf numFmtId="0" fontId="14" fillId="0" borderId="23" xfId="5" applyFont="1" applyBorder="1" applyAlignment="1">
      <alignment horizontal="center" vertical="center"/>
    </xf>
    <xf numFmtId="166" fontId="14" fillId="3" borderId="33" xfId="5" applyNumberFormat="1" applyFont="1" applyFill="1" applyBorder="1" applyAlignment="1">
      <alignment horizontal="center" vertical="center"/>
    </xf>
    <xf numFmtId="166" fontId="14" fillId="3" borderId="34" xfId="5" applyNumberFormat="1" applyFont="1" applyFill="1" applyBorder="1" applyAlignment="1">
      <alignment horizontal="center" vertical="center"/>
    </xf>
    <xf numFmtId="166" fontId="14" fillId="3" borderId="46" xfId="5" applyNumberFormat="1" applyFont="1" applyFill="1" applyBorder="1" applyAlignment="1">
      <alignment horizontal="center" vertical="center"/>
    </xf>
    <xf numFmtId="0" fontId="14" fillId="3" borderId="8" xfId="3" applyFont="1" applyFill="1" applyBorder="1" applyAlignment="1">
      <alignment horizontal="center" vertical="center"/>
    </xf>
    <xf numFmtId="0" fontId="14" fillId="3" borderId="71" xfId="3" applyFont="1" applyFill="1" applyBorder="1" applyAlignment="1">
      <alignment horizontal="center" vertical="center"/>
    </xf>
    <xf numFmtId="0" fontId="14" fillId="3" borderId="7" xfId="3" applyFont="1" applyFill="1" applyBorder="1" applyAlignment="1">
      <alignment horizontal="center" vertical="center"/>
    </xf>
    <xf numFmtId="0" fontId="14" fillId="3" borderId="5" xfId="3" applyFont="1" applyFill="1" applyBorder="1" applyAlignment="1">
      <alignment horizontal="center" vertical="center"/>
    </xf>
    <xf numFmtId="0" fontId="14" fillId="3" borderId="72" xfId="3" applyFont="1" applyFill="1" applyBorder="1" applyAlignment="1">
      <alignment horizontal="center" vertical="center"/>
    </xf>
    <xf numFmtId="0" fontId="14" fillId="3" borderId="73" xfId="3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top"/>
    </xf>
    <xf numFmtId="0" fontId="10" fillId="3" borderId="71" xfId="0" applyFont="1" applyFill="1" applyBorder="1" applyAlignment="1">
      <alignment horizontal="center" vertical="top"/>
    </xf>
    <xf numFmtId="0" fontId="10" fillId="3" borderId="7" xfId="0" applyFont="1" applyFill="1" applyBorder="1" applyAlignment="1">
      <alignment horizontal="center" vertical="top"/>
    </xf>
    <xf numFmtId="0" fontId="10" fillId="3" borderId="1" xfId="2" applyFont="1" applyFill="1" applyBorder="1" applyAlignment="1">
      <alignment horizontal="center" vertical="top"/>
    </xf>
  </cellXfs>
  <cellStyles count="996">
    <cellStyle name="%" xfId="7" xr:uid="{00000000-0005-0000-0000-000000000000}"/>
    <cellStyle name="% 2" xfId="14" xr:uid="{00000000-0005-0000-0000-000001000000}"/>
    <cellStyle name="% 3" xfId="15" xr:uid="{00000000-0005-0000-0000-000002000000}"/>
    <cellStyle name="% 4" xfId="16" xr:uid="{00000000-0005-0000-0000-000003000000}"/>
    <cellStyle name="% 5" xfId="17" xr:uid="{00000000-0005-0000-0000-000004000000}"/>
    <cellStyle name="% 6" xfId="18" xr:uid="{00000000-0005-0000-0000-000005000000}"/>
    <cellStyle name="% 7" xfId="19" xr:uid="{00000000-0005-0000-0000-000006000000}"/>
    <cellStyle name="% 8" xfId="13" xr:uid="{00000000-0005-0000-0000-000007000000}"/>
    <cellStyle name="%_01-Rev TE accruals and prepayments P2" xfId="20" xr:uid="{00000000-0005-0000-0000-000008000000}"/>
    <cellStyle name="%_01-Rev TE accruals and prepayments P2_OC4" xfId="21" xr:uid="{00000000-0005-0000-0000-000009000000}"/>
    <cellStyle name="%_07 P8 IT Recharge with Submit" xfId="22" xr:uid="{00000000-0005-0000-0000-00000A000000}"/>
    <cellStyle name="%_07 P8 IT Recharge with Submit_rec" xfId="23" xr:uid="{00000000-0005-0000-0000-00000B000000}"/>
    <cellStyle name="%_07 P8 IT Recharge with Submit_rec (2)" xfId="24" xr:uid="{00000000-0005-0000-0000-00000C000000}"/>
    <cellStyle name="%_07 P8 IT Recharge with Submit_Sheet2" xfId="25" xr:uid="{00000000-0005-0000-0000-00000D000000}"/>
    <cellStyle name="%_0708 P03 IT Recharge" xfId="26" xr:uid="{00000000-0005-0000-0000-00000E000000}"/>
    <cellStyle name="%_0708 P03 IT Recharge_rec" xfId="27" xr:uid="{00000000-0005-0000-0000-00000F000000}"/>
    <cellStyle name="%_0708 P03 IT Recharge_rec (2)" xfId="28" xr:uid="{00000000-0005-0000-0000-000010000000}"/>
    <cellStyle name="%_0708 P03 IT Recharge_Sheet2" xfId="29" xr:uid="{00000000-0005-0000-0000-000011000000}"/>
    <cellStyle name="%_0708 P04 IT Recharge" xfId="30" xr:uid="{00000000-0005-0000-0000-000012000000}"/>
    <cellStyle name="%_0708 P04 IT Recharge with audit" xfId="31" xr:uid="{00000000-0005-0000-0000-000013000000}"/>
    <cellStyle name="%_0708 P04 IT Recharge with audit_rec" xfId="32" xr:uid="{00000000-0005-0000-0000-000014000000}"/>
    <cellStyle name="%_0708 P04 IT Recharge with audit_rec (2)" xfId="33" xr:uid="{00000000-0005-0000-0000-000015000000}"/>
    <cellStyle name="%_0708 P04 IT Recharge with audit_Sheet2" xfId="34" xr:uid="{00000000-0005-0000-0000-000016000000}"/>
    <cellStyle name="%_0708 P04 IT Recharge_rec" xfId="35" xr:uid="{00000000-0005-0000-0000-000017000000}"/>
    <cellStyle name="%_0708 P04 IT Recharge_rec (2)" xfId="36" xr:uid="{00000000-0005-0000-0000-000018000000}"/>
    <cellStyle name="%_0708 P04 IT Recharge_Sheet2" xfId="37" xr:uid="{00000000-0005-0000-0000-000019000000}"/>
    <cellStyle name="%_0708 P05 IT Recharge with Submit" xfId="38" xr:uid="{00000000-0005-0000-0000-00001A000000}"/>
    <cellStyle name="%_0708 P05 IT Recharge with Submit_rec" xfId="39" xr:uid="{00000000-0005-0000-0000-00001B000000}"/>
    <cellStyle name="%_0708 P05 IT Recharge with Submit_rec (2)" xfId="40" xr:uid="{00000000-0005-0000-0000-00001C000000}"/>
    <cellStyle name="%_0708 P05 IT Recharge with Submit_Sheet2" xfId="41" xr:uid="{00000000-0005-0000-0000-00001D000000}"/>
    <cellStyle name="%_08-Rev  SW IT PO Accruals" xfId="42" xr:uid="{00000000-0005-0000-0000-00001E000000}"/>
    <cellStyle name="%_08-Rev  SW IT PO Accruals NM" xfId="43" xr:uid="{00000000-0005-0000-0000-00001F000000}"/>
    <cellStyle name="%_08-Rev  SW IT PO Accruals NM P1" xfId="44" xr:uid="{00000000-0005-0000-0000-000020000000}"/>
    <cellStyle name="%_13000 - Finance Director V2" xfId="45" xr:uid="{00000000-0005-0000-0000-000021000000}"/>
    <cellStyle name="%_13-Rev non-GRNI" xfId="46" xr:uid="{00000000-0005-0000-0000-000022000000}"/>
    <cellStyle name="%_39-Rev Misc Accrual" xfId="47" xr:uid="{00000000-0005-0000-0000-000023000000}"/>
    <cellStyle name="%_46-Rev Cerberus retail accruals" xfId="48" xr:uid="{00000000-0005-0000-0000-000024000000}"/>
    <cellStyle name="%_47-Rev Incentive Accruals" xfId="49" xr:uid="{00000000-0005-0000-0000-000025000000}"/>
    <cellStyle name="%_7659 Other Prepayments" xfId="50" xr:uid="{00000000-0005-0000-0000-000026000000}"/>
    <cellStyle name="%_7659 Other Prepayments " xfId="51" xr:uid="{00000000-0005-0000-0000-000027000000}"/>
    <cellStyle name="%_7659 Other Prepayments _rec" xfId="52" xr:uid="{00000000-0005-0000-0000-000028000000}"/>
    <cellStyle name="%_7659 Other Prepayments _rec (2)" xfId="53" xr:uid="{00000000-0005-0000-0000-000029000000}"/>
    <cellStyle name="%_7659 Other Prepayments _Sheet2" xfId="54" xr:uid="{00000000-0005-0000-0000-00002A000000}"/>
    <cellStyle name="%_7659 Other Prepayments P4" xfId="55" xr:uid="{00000000-0005-0000-0000-00002B000000}"/>
    <cellStyle name="%_7659 Other Prepayments P4_rec" xfId="56" xr:uid="{00000000-0005-0000-0000-00002C000000}"/>
    <cellStyle name="%_7659 Other Prepayments P4_rec (2)" xfId="57" xr:uid="{00000000-0005-0000-0000-00002D000000}"/>
    <cellStyle name="%_7659 Other Prepayments P4_Sheet2" xfId="58" xr:uid="{00000000-0005-0000-0000-00002E000000}"/>
    <cellStyle name="%_7659 Other Prepayments_rec" xfId="59" xr:uid="{00000000-0005-0000-0000-00002F000000}"/>
    <cellStyle name="%_7659 Other Prepayments_rec (2)" xfId="60" xr:uid="{00000000-0005-0000-0000-000030000000}"/>
    <cellStyle name="%_7659 Other Prepayments_Sheet2" xfId="61" xr:uid="{00000000-0005-0000-0000-000031000000}"/>
    <cellStyle name="%_AC13" xfId="62" xr:uid="{00000000-0005-0000-0000-000032000000}"/>
    <cellStyle name="%_AC15" xfId="63" xr:uid="{00000000-0005-0000-0000-000033000000}"/>
    <cellStyle name="%_AC15a" xfId="64" xr:uid="{00000000-0005-0000-0000-000034000000}"/>
    <cellStyle name="%_AC15AC" xfId="65" xr:uid="{00000000-0005-0000-0000-000035000000}"/>
    <cellStyle name="%_AC15ad" xfId="66" xr:uid="{00000000-0005-0000-0000-000036000000}"/>
    <cellStyle name="%_AC15b" xfId="67" xr:uid="{00000000-0005-0000-0000-000037000000}"/>
    <cellStyle name="%_AC17" xfId="68" xr:uid="{00000000-0005-0000-0000-000038000000}"/>
    <cellStyle name="%_AC2" xfId="69" xr:uid="{00000000-0005-0000-0000-000039000000}"/>
    <cellStyle name="%_AC5" xfId="70" xr:uid="{00000000-0005-0000-0000-00003A000000}"/>
    <cellStyle name="%_Accrued Income P9" xfId="71" xr:uid="{00000000-0005-0000-0000-00003B000000}"/>
    <cellStyle name="%_ADV payments Log 29122010" xfId="72" xr:uid="{00000000-0005-0000-0000-00003C000000}"/>
    <cellStyle name="%_Book2" xfId="73" xr:uid="{00000000-0005-0000-0000-00003D000000}"/>
    <cellStyle name="%_Book2_rec" xfId="74" xr:uid="{00000000-0005-0000-0000-00003E000000}"/>
    <cellStyle name="%_Book2_rec (2)" xfId="75" xr:uid="{00000000-0005-0000-0000-00003F000000}"/>
    <cellStyle name="%_Book2_Sheet2" xfId="76" xr:uid="{00000000-0005-0000-0000-000040000000}"/>
    <cellStyle name="%_Book3" xfId="77" xr:uid="{00000000-0005-0000-0000-000041000000}"/>
    <cellStyle name="%_Book3_rec" xfId="78" xr:uid="{00000000-0005-0000-0000-000042000000}"/>
    <cellStyle name="%_Book3_rec (2)" xfId="79" xr:uid="{00000000-0005-0000-0000-000043000000}"/>
    <cellStyle name="%_Book3_Sheet2" xfId="80" xr:uid="{00000000-0005-0000-0000-000044000000}"/>
    <cellStyle name="%_Book4" xfId="81" xr:uid="{00000000-0005-0000-0000-000045000000}"/>
    <cellStyle name="%_Book4_rec" xfId="82" xr:uid="{00000000-0005-0000-0000-000046000000}"/>
    <cellStyle name="%_Book4_rec (2)" xfId="83" xr:uid="{00000000-0005-0000-0000-000047000000}"/>
    <cellStyle name="%_Book4_Sheet2" xfId="84" xr:uid="{00000000-0005-0000-0000-000048000000}"/>
    <cellStyle name="%_Book5" xfId="85" xr:uid="{00000000-0005-0000-0000-000049000000}"/>
    <cellStyle name="%_Book5_rec" xfId="86" xr:uid="{00000000-0005-0000-0000-00004A000000}"/>
    <cellStyle name="%_Book5_rec (2)" xfId="87" xr:uid="{00000000-0005-0000-0000-00004B000000}"/>
    <cellStyle name="%_Book5_Sheet2" xfId="88" xr:uid="{00000000-0005-0000-0000-00004C000000}"/>
    <cellStyle name="%_CAPEX open PO report" xfId="89" xr:uid="{00000000-0005-0000-0000-00004D000000}"/>
    <cellStyle name="%_Capex Open PO's" xfId="90" xr:uid="{00000000-0005-0000-0000-00004E000000}"/>
    <cellStyle name="%_Capex Po's" xfId="91" xr:uid="{00000000-0005-0000-0000-00004F000000}"/>
    <cellStyle name="%_Capital Accrual Report" xfId="92" xr:uid="{00000000-0005-0000-0000-000050000000}"/>
    <cellStyle name="%_Comms 3930 VA P3" xfId="93" xr:uid="{00000000-0005-0000-0000-000051000000}"/>
    <cellStyle name="%_Comms 3930 VA P3_rec" xfId="94" xr:uid="{00000000-0005-0000-0000-000052000000}"/>
    <cellStyle name="%_Comms 3930 VA P3_rec (2)" xfId="95" xr:uid="{00000000-0005-0000-0000-000053000000}"/>
    <cellStyle name="%_Comms 3930 VA P3_Sheet2" xfId="96" xr:uid="{00000000-0005-0000-0000-000054000000}"/>
    <cellStyle name="%_Comms 3931 VA P3" xfId="97" xr:uid="{00000000-0005-0000-0000-000055000000}"/>
    <cellStyle name="%_Comms 3931 VA P3_rec" xfId="98" xr:uid="{00000000-0005-0000-0000-000056000000}"/>
    <cellStyle name="%_Comms 3931 VA P3_rec (2)" xfId="99" xr:uid="{00000000-0005-0000-0000-000057000000}"/>
    <cellStyle name="%_Comms 3931 VA P3_Sheet2" xfId="100" xr:uid="{00000000-0005-0000-0000-000058000000}"/>
    <cellStyle name="%_Comms 3932 VA P3" xfId="101" xr:uid="{00000000-0005-0000-0000-000059000000}"/>
    <cellStyle name="%_Comms 3932 VA P3_rec" xfId="102" xr:uid="{00000000-0005-0000-0000-00005A000000}"/>
    <cellStyle name="%_Comms 3932 VA P3_rec (2)" xfId="103" xr:uid="{00000000-0005-0000-0000-00005B000000}"/>
    <cellStyle name="%_Comms 3932 VA P3_Sheet2" xfId="104" xr:uid="{00000000-0005-0000-0000-00005C000000}"/>
    <cellStyle name="%_Developer_services P&amp;L" xfId="105" xr:uid="{00000000-0005-0000-0000-00005D000000}"/>
    <cellStyle name="%_Examples of Backup Provided" xfId="106" xr:uid="{00000000-0005-0000-0000-00005E000000}"/>
    <cellStyle name="%_Feb -  Day 3 journals 3-3-10" xfId="107" xr:uid="{00000000-0005-0000-0000-00005F000000}"/>
    <cellStyle name="%_Feb -  Day 3 journals 3-3-10_rec" xfId="108" xr:uid="{00000000-0005-0000-0000-000060000000}"/>
    <cellStyle name="%_Feb -  Day 3 journals 3-3-10_rec (2)" xfId="109" xr:uid="{00000000-0005-0000-0000-000061000000}"/>
    <cellStyle name="%_Feb -  Day 3 journals 3-3-10_Sheet2" xfId="110" xr:uid="{00000000-0005-0000-0000-000062000000}"/>
    <cellStyle name="%_horizonsdeftax1213 v2" xfId="111" xr:uid="{00000000-0005-0000-0000-000063000000}"/>
    <cellStyle name="%_horizonsdeftax1213 v3" xfId="112" xr:uid="{00000000-0005-0000-0000-000064000000}"/>
    <cellStyle name="%_I6 Additions by CAs" xfId="113" xr:uid="{00000000-0005-0000-0000-000065000000}"/>
    <cellStyle name="%_NM non-GRNI" xfId="114" xr:uid="{00000000-0005-0000-0000-000066000000}"/>
    <cellStyle name="%_Note 8 &amp; 15 12-13" xfId="115" xr:uid="{00000000-0005-0000-0000-000067000000}"/>
    <cellStyle name="%_OC4" xfId="116" xr:uid="{00000000-0005-0000-0000-000068000000}"/>
    <cellStyle name="%_OrdersNotInvoiced P1" xfId="117" xr:uid="{00000000-0005-0000-0000-000069000000}"/>
    <cellStyle name="%_OrdersNotInvoiced P2" xfId="118" xr:uid="{00000000-0005-0000-0000-00006A000000}"/>
    <cellStyle name="%_OrdersNotInvoiced P8" xfId="119" xr:uid="{00000000-0005-0000-0000-00006B000000}"/>
    <cellStyle name="%_Other Creditors P9" xfId="120" xr:uid="{00000000-0005-0000-0000-00006C000000}"/>
    <cellStyle name="%_P10 Back-up" xfId="121" xr:uid="{00000000-0005-0000-0000-00006D000000}"/>
    <cellStyle name="%_P10 Back-up_rec" xfId="122" xr:uid="{00000000-0005-0000-0000-00006E000000}"/>
    <cellStyle name="%_P10 Back-up_rec (2)" xfId="123" xr:uid="{00000000-0005-0000-0000-00006F000000}"/>
    <cellStyle name="%_P10 Back-up_Sheet2" xfId="124" xr:uid="{00000000-0005-0000-0000-000070000000}"/>
    <cellStyle name="%_P11 Back-up" xfId="125" xr:uid="{00000000-0005-0000-0000-000071000000}"/>
    <cellStyle name="%_P11 Back-up_rec" xfId="126" xr:uid="{00000000-0005-0000-0000-000072000000}"/>
    <cellStyle name="%_P11 Back-up_rec (2)" xfId="127" xr:uid="{00000000-0005-0000-0000-000073000000}"/>
    <cellStyle name="%_P11 Back-up_Sheet2" xfId="128" xr:uid="{00000000-0005-0000-0000-000074000000}"/>
    <cellStyle name="%_P12 Back-up" xfId="129" xr:uid="{00000000-0005-0000-0000-000075000000}"/>
    <cellStyle name="%_P12 Back-up_rec" xfId="130" xr:uid="{00000000-0005-0000-0000-000076000000}"/>
    <cellStyle name="%_P12 Back-up_rec (2)" xfId="131" xr:uid="{00000000-0005-0000-0000-000077000000}"/>
    <cellStyle name="%_P12 Back-up_Sheet2" xfId="132" xr:uid="{00000000-0005-0000-0000-000078000000}"/>
    <cellStyle name="%_P2 Back-up" xfId="133" xr:uid="{00000000-0005-0000-0000-000079000000}"/>
    <cellStyle name="%_P2 Back-up_rec" xfId="134" xr:uid="{00000000-0005-0000-0000-00007A000000}"/>
    <cellStyle name="%_P2 Back-up_rec (2)" xfId="135" xr:uid="{00000000-0005-0000-0000-00007B000000}"/>
    <cellStyle name="%_P2 Back-up_Sheet2" xfId="136" xr:uid="{00000000-0005-0000-0000-00007C000000}"/>
    <cellStyle name="%_P3" xfId="137" xr:uid="{00000000-0005-0000-0000-00007D000000}"/>
    <cellStyle name="%_P3 8459 back up" xfId="138" xr:uid="{00000000-0005-0000-0000-00007E000000}"/>
    <cellStyle name="%_P3 8459 back up_rec" xfId="139" xr:uid="{00000000-0005-0000-0000-00007F000000}"/>
    <cellStyle name="%_P3 8459 back up_rec (2)" xfId="140" xr:uid="{00000000-0005-0000-0000-000080000000}"/>
    <cellStyle name="%_P3 8459 back up_Sheet2" xfId="141" xr:uid="{00000000-0005-0000-0000-000081000000}"/>
    <cellStyle name="%_P3 Back-up" xfId="142" xr:uid="{00000000-0005-0000-0000-000082000000}"/>
    <cellStyle name="%_P3 Back-up_rec" xfId="143" xr:uid="{00000000-0005-0000-0000-000083000000}"/>
    <cellStyle name="%_P3 Back-up_rec (2)" xfId="144" xr:uid="{00000000-0005-0000-0000-000084000000}"/>
    <cellStyle name="%_P3 Back-up_Sheet2" xfId="145" xr:uid="{00000000-0005-0000-0000-000085000000}"/>
    <cellStyle name="%_P3_rec" xfId="146" xr:uid="{00000000-0005-0000-0000-000086000000}"/>
    <cellStyle name="%_P3_rec (2)" xfId="147" xr:uid="{00000000-0005-0000-0000-000087000000}"/>
    <cellStyle name="%_P3_Sheet2" xfId="148" xr:uid="{00000000-0005-0000-0000-000088000000}"/>
    <cellStyle name="%_P7 Back-up" xfId="149" xr:uid="{00000000-0005-0000-0000-000089000000}"/>
    <cellStyle name="%_P7 Back-up_rec" xfId="150" xr:uid="{00000000-0005-0000-0000-00008A000000}"/>
    <cellStyle name="%_P7 Back-up_rec (2)" xfId="151" xr:uid="{00000000-0005-0000-0000-00008B000000}"/>
    <cellStyle name="%_P7 Back-up_Sheet2" xfId="152" xr:uid="{00000000-0005-0000-0000-00008C000000}"/>
    <cellStyle name="%_P9 Back-up" xfId="153" xr:uid="{00000000-0005-0000-0000-00008D000000}"/>
    <cellStyle name="%_P9 Back-up_rec" xfId="154" xr:uid="{00000000-0005-0000-0000-00008E000000}"/>
    <cellStyle name="%_P9 Back-up_rec (2)" xfId="155" xr:uid="{00000000-0005-0000-0000-00008F000000}"/>
    <cellStyle name="%_P9 Back-up_Sheet2" xfId="156" xr:uid="{00000000-0005-0000-0000-000090000000}"/>
    <cellStyle name="%_PO Accrual P10" xfId="157" xr:uid="{00000000-0005-0000-0000-000091000000}"/>
    <cellStyle name="%_PO Accrual P5" xfId="158" xr:uid="{00000000-0005-0000-0000-000092000000}"/>
    <cellStyle name="%_PO Accrual P6" xfId="159" xr:uid="{00000000-0005-0000-0000-000093000000}"/>
    <cellStyle name="%_provision review" xfId="160" xr:uid="{00000000-0005-0000-0000-000094000000}"/>
    <cellStyle name="%_Sheet1" xfId="161" xr:uid="{00000000-0005-0000-0000-000095000000}"/>
    <cellStyle name="%_Sheet2" xfId="162" xr:uid="{00000000-0005-0000-0000-000096000000}"/>
    <cellStyle name="%_SWdeftax1112 ye v4" xfId="163" xr:uid="{00000000-0005-0000-0000-000097000000}"/>
    <cellStyle name="%_SWdeftax1213 ye v2" xfId="164" xr:uid="{00000000-0005-0000-0000-000098000000}"/>
    <cellStyle name="%_SWdeftax1213 ye v3" xfId="165" xr:uid="{00000000-0005-0000-0000-000099000000}"/>
    <cellStyle name="%_SWdeftax1213 ye v4" xfId="166" xr:uid="{00000000-0005-0000-0000-00009A000000}"/>
    <cellStyle name="%_SWdeftax1213 ye v5" xfId="167" xr:uid="{00000000-0005-0000-0000-00009B000000}"/>
    <cellStyle name="%_Tax computation - SWBS 1112 P12 V2" xfId="168" xr:uid="{00000000-0005-0000-0000-00009C000000}"/>
    <cellStyle name="%_Tax computation - SWBS 1112 P12 V3" xfId="169" xr:uid="{00000000-0005-0000-0000-00009D000000}"/>
    <cellStyle name="%_Tax computation - SWBS 1213 P12 v6" xfId="170" xr:uid="{00000000-0005-0000-0000-00009E000000}"/>
    <cellStyle name="%_Tay Pd02 Other" xfId="171" xr:uid="{00000000-0005-0000-0000-00009F000000}"/>
    <cellStyle name="%_Tay Pd02 Other_rec" xfId="172" xr:uid="{00000000-0005-0000-0000-0000A0000000}"/>
    <cellStyle name="%_Tay Pd02 Other_rec (2)" xfId="173" xr:uid="{00000000-0005-0000-0000-0000A1000000}"/>
    <cellStyle name="%_Tay Pd02 Other_Sheet2" xfId="174" xr:uid="{00000000-0005-0000-0000-0000A2000000}"/>
    <cellStyle name="%_Tay Pd05 Other" xfId="175" xr:uid="{00000000-0005-0000-0000-0000A3000000}"/>
    <cellStyle name="%_Tay Pd05 Other_rec" xfId="176" xr:uid="{00000000-0005-0000-0000-0000A4000000}"/>
    <cellStyle name="%_Tay Pd05 Other_rec (2)" xfId="177" xr:uid="{00000000-0005-0000-0000-0000A5000000}"/>
    <cellStyle name="%_Tay Pd05 Other_Sheet2" xfId="178" xr:uid="{00000000-0005-0000-0000-0000A6000000}"/>
    <cellStyle name="%_Tay Pd08 Other" xfId="179" xr:uid="{00000000-0005-0000-0000-0000A7000000}"/>
    <cellStyle name="%_Tay Pd08 Other_rec" xfId="180" xr:uid="{00000000-0005-0000-0000-0000A8000000}"/>
    <cellStyle name="%_Tay Pd08 Other_rec (2)" xfId="181" xr:uid="{00000000-0005-0000-0000-0000A9000000}"/>
    <cellStyle name="%_Tay Pd08 Other_Sheet2" xfId="182" xr:uid="{00000000-0005-0000-0000-0000AA000000}"/>
    <cellStyle name="%_Tay Pd09 Other" xfId="183" xr:uid="{00000000-0005-0000-0000-0000AB000000}"/>
    <cellStyle name="%_Tay Pd09 Other_rec" xfId="184" xr:uid="{00000000-0005-0000-0000-0000AC000000}"/>
    <cellStyle name="%_Tay Pd09 Other_rec (2)" xfId="185" xr:uid="{00000000-0005-0000-0000-0000AD000000}"/>
    <cellStyle name="%_Tay Pd09 Other_Sheet2" xfId="186" xr:uid="{00000000-0005-0000-0000-0000AE000000}"/>
    <cellStyle name="%_Waste East Pd01" xfId="187" xr:uid="{00000000-0005-0000-0000-0000AF000000}"/>
    <cellStyle name="%_Waste East Pd01_rec" xfId="188" xr:uid="{00000000-0005-0000-0000-0000B0000000}"/>
    <cellStyle name="%_Waste East Pd01_rec (2)" xfId="189" xr:uid="{00000000-0005-0000-0000-0000B1000000}"/>
    <cellStyle name="%_Waste East Pd01_Sheet2" xfId="190" xr:uid="{00000000-0005-0000-0000-0000B2000000}"/>
    <cellStyle name="%_Waste East Pd03" xfId="191" xr:uid="{00000000-0005-0000-0000-0000B3000000}"/>
    <cellStyle name="%_Waste East Pd03_rec" xfId="192" xr:uid="{00000000-0005-0000-0000-0000B4000000}"/>
    <cellStyle name="%_Waste East Pd03_rec (2)" xfId="193" xr:uid="{00000000-0005-0000-0000-0000B5000000}"/>
    <cellStyle name="%_Waste East Pd03_Sheet2" xfId="194" xr:uid="{00000000-0005-0000-0000-0000B6000000}"/>
    <cellStyle name="%_Water East Pd01" xfId="195" xr:uid="{00000000-0005-0000-0000-0000B7000000}"/>
    <cellStyle name="%_Water East Pd01_rec" xfId="196" xr:uid="{00000000-0005-0000-0000-0000B8000000}"/>
    <cellStyle name="%_Water East Pd01_rec (2)" xfId="197" xr:uid="{00000000-0005-0000-0000-0000B9000000}"/>
    <cellStyle name="%_Water East Pd01_Sheet2" xfId="198" xr:uid="{00000000-0005-0000-0000-0000BA000000}"/>
    <cellStyle name="%_Water East Pd02" xfId="199" xr:uid="{00000000-0005-0000-0000-0000BB000000}"/>
    <cellStyle name="%_Water East Pd02_rec" xfId="200" xr:uid="{00000000-0005-0000-0000-0000BC000000}"/>
    <cellStyle name="%_Water East Pd02_rec (2)" xfId="201" xr:uid="{00000000-0005-0000-0000-0000BD000000}"/>
    <cellStyle name="%_Water East Pd02_Sheet2" xfId="202" xr:uid="{00000000-0005-0000-0000-0000BE000000}"/>
    <cellStyle name="%_Water East Pd03" xfId="203" xr:uid="{00000000-0005-0000-0000-0000BF000000}"/>
    <cellStyle name="%_Water East Pd03_rec" xfId="204" xr:uid="{00000000-0005-0000-0000-0000C0000000}"/>
    <cellStyle name="%_Water East Pd03_rec (2)" xfId="205" xr:uid="{00000000-0005-0000-0000-0000C1000000}"/>
    <cellStyle name="%_Water East Pd03_Sheet2" xfId="206" xr:uid="{00000000-0005-0000-0000-0000C2000000}"/>
    <cellStyle name="%_Water East Pd12 Other" xfId="207" xr:uid="{00000000-0005-0000-0000-0000C3000000}"/>
    <cellStyle name="%_Water East Pd12 Other_rec" xfId="208" xr:uid="{00000000-0005-0000-0000-0000C4000000}"/>
    <cellStyle name="%_Water East Pd12 Other_rec (2)" xfId="209" xr:uid="{00000000-0005-0000-0000-0000C5000000}"/>
    <cellStyle name="%_Water East Pd12 Other_Sheet2" xfId="210" xr:uid="{00000000-0005-0000-0000-0000C6000000}"/>
    <cellStyle name="]_x000d__x000a_Zoomed=1_x000d__x000a_Row=0_x000d__x000a_Column=0_x000d__x000a_Height=0_x000d__x000a_Width=0_x000d__x000a_FontName=FoxFont_x000d__x000a_FontStyle=0_x000d__x000a_FontSize=9_x000d__x000a_PrtFontName=FoxPrin" xfId="211" xr:uid="{00000000-0005-0000-0000-0000C7000000}"/>
    <cellStyle name="_02-Rev Unmeasured deferral, FBM accrual, Taps and Troughs acc" xfId="212" xr:uid="{00000000-0005-0000-0000-0000C8000000}"/>
    <cellStyle name="_08-Rev  SW IT PO Accruals" xfId="213" xr:uid="{00000000-0005-0000-0000-0000C9000000}"/>
    <cellStyle name="_09-Rev Metering Costs" xfId="214" xr:uid="{00000000-0005-0000-0000-0000CA000000}"/>
    <cellStyle name="_10-Rev Overtime Accrual" xfId="215" xr:uid="{00000000-0005-0000-0000-0000CB000000}"/>
    <cellStyle name="_13-Rev non-GRNI" xfId="216" xr:uid="{00000000-0005-0000-0000-0000CC000000}"/>
    <cellStyle name="_16-Rev Int Audit Acc" xfId="217" xr:uid="{00000000-0005-0000-0000-0000CD000000}"/>
    <cellStyle name="_17-Rev Contractors accruals" xfId="218" xr:uid="{00000000-0005-0000-0000-0000CE000000}"/>
    <cellStyle name="_21-Rev Insurance excess accrual" xfId="219" xr:uid="{00000000-0005-0000-0000-0000CF000000}"/>
    <cellStyle name="_23-Rev Bonus Accrual 0809" xfId="220" xr:uid="{00000000-0005-0000-0000-0000D0000000}"/>
    <cellStyle name="_23-Rev Bonus Accrual0910" xfId="221" xr:uid="{00000000-0005-0000-0000-0000D1000000}"/>
    <cellStyle name="_24-Rev Expenses Accrual" xfId="222" xr:uid="{00000000-0005-0000-0000-0000D2000000}"/>
    <cellStyle name="_29-Rev Defer Perm Disconnection Income P3" xfId="223" xr:uid="{00000000-0005-0000-0000-0000D3000000}"/>
    <cellStyle name="_32-Rev Prepayment Journal Draft" xfId="224" xr:uid="{00000000-0005-0000-0000-0000D4000000}"/>
    <cellStyle name="_35-Rev Taxi Accrual" xfId="225" xr:uid="{00000000-0005-0000-0000-0000D5000000}"/>
    <cellStyle name="_35-Rev Taxi Accrual2" xfId="226" xr:uid="{00000000-0005-0000-0000-0000D6000000}"/>
    <cellStyle name="_36-Rev Portman travel Accrual" xfId="227" xr:uid="{00000000-0005-0000-0000-0000D7000000}"/>
    <cellStyle name="_38-Rev External audit accrual" xfId="228" xr:uid="{00000000-0005-0000-0000-0000D8000000}"/>
    <cellStyle name="_39-Rev Misc Accrual" xfId="229" xr:uid="{00000000-0005-0000-0000-0000D9000000}"/>
    <cellStyle name="_40-Rev Expenses accrual" xfId="230" xr:uid="{00000000-0005-0000-0000-0000DA000000}"/>
    <cellStyle name="_41-Rev FBM agency staff" xfId="231" xr:uid="{00000000-0005-0000-0000-0000DB000000}"/>
    <cellStyle name="_42 - Rev - late journals" xfId="232" xr:uid="{00000000-0005-0000-0000-0000DC000000}"/>
    <cellStyle name="_42-Rev FBM accrual to budget" xfId="233" xr:uid="{00000000-0005-0000-0000-0000DD000000}"/>
    <cellStyle name="_44-Rev DD Campaign accrual" xfId="234" xr:uid="{00000000-0005-0000-0000-0000DE000000}"/>
    <cellStyle name="_Account 8458 - Business Solution accruals" xfId="235" xr:uid="{00000000-0005-0000-0000-0000DF000000}"/>
    <cellStyle name="_Accruals P5" xfId="236" xr:uid="{00000000-0005-0000-0000-0000E0000000}"/>
    <cellStyle name="_Accruals P7" xfId="237" xr:uid="{00000000-0005-0000-0000-0000E1000000}"/>
    <cellStyle name="_Accrued Income P9" xfId="238" xr:uid="{00000000-0005-0000-0000-0000E2000000}"/>
    <cellStyle name="_Additions Modelling 10-11" xfId="239" xr:uid="{00000000-0005-0000-0000-0000E3000000}"/>
    <cellStyle name="_B Solutions COS to P9" xfId="240" xr:uid="{00000000-0005-0000-0000-0000E4000000}"/>
    <cellStyle name="_Business Solutions P10 Consolidated v2" xfId="241" xr:uid="{00000000-0005-0000-0000-0000E5000000}"/>
    <cellStyle name="_Business Solutions P11 Consolidated v3" xfId="242" xr:uid="{00000000-0005-0000-0000-0000E6000000}"/>
    <cellStyle name="_Business Solutions P12 Consolidated v4" xfId="243" xr:uid="{00000000-0005-0000-0000-0000E7000000}"/>
    <cellStyle name="_Business Solutions P5 Consolidated v2" xfId="244" xr:uid="{00000000-0005-0000-0000-0000E8000000}"/>
    <cellStyle name="_Business Solutions P6 Consolidated v2" xfId="245" xr:uid="{00000000-0005-0000-0000-0000E9000000}"/>
    <cellStyle name="_Business Solutions P7 Consolidated v3" xfId="246" xr:uid="{00000000-0005-0000-0000-0000EA000000}"/>
    <cellStyle name="_Business Solutions P8 Consolidated v4" xfId="247" xr:uid="{00000000-0005-0000-0000-0000EB000000}"/>
    <cellStyle name="_Business Solutions September 08" xfId="248" xr:uid="{00000000-0005-0000-0000-0000EC000000}"/>
    <cellStyle name="_Capex Open PO's" xfId="249" xr:uid="{00000000-0005-0000-0000-0000ED000000}"/>
    <cellStyle name="_Capex Po's" xfId="250" xr:uid="{00000000-0005-0000-0000-0000EE000000}"/>
    <cellStyle name="_Capital Accrual Report" xfId="251" xr:uid="{00000000-0005-0000-0000-0000EF000000}"/>
    <cellStyle name="_Deferred revenue  advanced payment workings v2" xfId="252" xr:uid="{00000000-0005-0000-0000-0000F0000000}"/>
    <cellStyle name="_Deferred revenue  advanced payment workings v2_OC4" xfId="253" xr:uid="{00000000-0005-0000-0000-0000F1000000}"/>
    <cellStyle name="_deftax0809 ye v8 updated for IFRS sep09v4" xfId="254" xr:uid="{00000000-0005-0000-0000-0000F2000000}"/>
    <cellStyle name="_deftax1011 ye v12 IFRS PYA Workbook Refresh October 2011" xfId="255" xr:uid="{00000000-0005-0000-0000-0000F3000000}"/>
    <cellStyle name="_FM - Mail Shot Recharge for SWS (Sent to Luke).xls.lnk" xfId="256" xr:uid="{00000000-0005-0000-0000-0000F4000000}"/>
    <cellStyle name="_horizonsdeftax0910 ye v8" xfId="257" xr:uid="{00000000-0005-0000-0000-0000F5000000}"/>
    <cellStyle name="_horizonsdeftax1213 v2" xfId="258" xr:uid="{00000000-0005-0000-0000-0000F6000000}"/>
    <cellStyle name="_horizonsdeftax1213 v3" xfId="259" xr:uid="{00000000-0005-0000-0000-0000F7000000}"/>
    <cellStyle name="_IFRS at March 2011" xfId="260" xr:uid="{00000000-0005-0000-0000-0000F8000000}"/>
    <cellStyle name="_IT Services Backup P1 April10" xfId="261" xr:uid="{00000000-0005-0000-0000-0000F9000000}"/>
    <cellStyle name="_NM non-GRNI" xfId="262" xr:uid="{00000000-0005-0000-0000-0000FA000000}"/>
    <cellStyle name="_Note 9 Fixed assets 2010" xfId="263" xr:uid="{00000000-0005-0000-0000-0000FB000000}"/>
    <cellStyle name="_Note 9 Fixed assets 2011" xfId="264" xr:uid="{00000000-0005-0000-0000-0000FC000000}"/>
    <cellStyle name="_Office Move pack to MP 140410" xfId="265" xr:uid="{00000000-0005-0000-0000-0000FD000000}"/>
    <cellStyle name="_Office Move pack to SG &amp; GF 07.04" xfId="266" xr:uid="{00000000-0005-0000-0000-0000FE000000}"/>
    <cellStyle name="_OrdersNotInvoiced P1" xfId="267" xr:uid="{00000000-0005-0000-0000-0000FF000000}"/>
    <cellStyle name="_OrdersNotInvoiced P2" xfId="268" xr:uid="{00000000-0005-0000-0000-000000010000}"/>
    <cellStyle name="_OrdersNotInvoiced P8" xfId="269" xr:uid="{00000000-0005-0000-0000-000001010000}"/>
    <cellStyle name="_P10  Balance sheet review" xfId="270" xr:uid="{00000000-0005-0000-0000-000002010000}"/>
    <cellStyle name="_P11 - Capital Accruals backup" xfId="271" xr:uid="{00000000-0005-0000-0000-000003010000}"/>
    <cellStyle name="_P12 Fixed assets register 09-10 v1" xfId="272" xr:uid="{00000000-0005-0000-0000-000004010000}"/>
    <cellStyle name="_PO Accrual P10" xfId="273" xr:uid="{00000000-0005-0000-0000-000005010000}"/>
    <cellStyle name="_PO Accrual P5" xfId="274" xr:uid="{00000000-0005-0000-0000-000006010000}"/>
    <cellStyle name="_PO Accrual P6" xfId="275" xr:uid="{00000000-0005-0000-0000-000007010000}"/>
    <cellStyle name="_rec of reorg provisionsmar11" xfId="276" xr:uid="{00000000-0005-0000-0000-000008010000}"/>
    <cellStyle name="_rec of reorg provisionsmar12" xfId="277" xr:uid="{00000000-0005-0000-0000-000009010000}"/>
    <cellStyle name="_rec of reorg provisionsmar13" xfId="278" xr:uid="{00000000-0005-0000-0000-00000A010000}"/>
    <cellStyle name="_Sundry Income Analysis" xfId="279" xr:uid="{00000000-0005-0000-0000-00000B010000}"/>
    <cellStyle name="_Sundry Income Analysis P6" xfId="280" xr:uid="{00000000-0005-0000-0000-00000C010000}"/>
    <cellStyle name="_SW IT Recharge P1 10-11" xfId="281" xr:uid="{00000000-0005-0000-0000-00000D010000}"/>
    <cellStyle name="_SW IT Recharge P2 10-11" xfId="282" xr:uid="{00000000-0005-0000-0000-00000E010000}"/>
    <cellStyle name="_SW IT Recharge P3 10-11" xfId="283" xr:uid="{00000000-0005-0000-0000-00000F010000}"/>
    <cellStyle name="_SW200809-0051 GCC EF settlement" xfId="284" xr:uid="{00000000-0005-0000-0000-000010010000}"/>
    <cellStyle name="_SWS Recharge Costs P10" xfId="285" xr:uid="{00000000-0005-0000-0000-000011010000}"/>
    <cellStyle name="_SWS Recharge Costs P11" xfId="286" xr:uid="{00000000-0005-0000-0000-000012010000}"/>
    <cellStyle name="_SWS Recharge Costs P12" xfId="287" xr:uid="{00000000-0005-0000-0000-000013010000}"/>
    <cellStyle name="_SWS Recharge Costs P8" xfId="288" xr:uid="{00000000-0005-0000-0000-000014010000}"/>
    <cellStyle name="_SWS Recharge Costs P9" xfId="289" xr:uid="{00000000-0005-0000-0000-000015010000}"/>
    <cellStyle name="_Tax computation - SWBS 0910 P12 V3" xfId="290" xr:uid="{00000000-0005-0000-0000-000016010000}"/>
    <cellStyle name="_Tax computation - SWBS 0910 P12 V5 FINAL VERSION" xfId="291" xr:uid="{00000000-0005-0000-0000-000017010000}"/>
    <cellStyle name="_Tax computation - SWBS 1011 P12 V11" xfId="292" xr:uid="{00000000-0005-0000-0000-000018010000}"/>
    <cellStyle name="_Zero billed FBM accounts" xfId="293" xr:uid="{00000000-0005-0000-0000-000019010000}"/>
    <cellStyle name="20% - Accent1 2" xfId="294" xr:uid="{00000000-0005-0000-0000-00001A010000}"/>
    <cellStyle name="20% - Accent1 3" xfId="295" xr:uid="{00000000-0005-0000-0000-00001B010000}"/>
    <cellStyle name="20% - Accent1 4" xfId="625" xr:uid="{00000000-0005-0000-0000-00001C010000}"/>
    <cellStyle name="20% - Accent2 2" xfId="296" xr:uid="{00000000-0005-0000-0000-00001D010000}"/>
    <cellStyle name="20% - Accent2 3" xfId="297" xr:uid="{00000000-0005-0000-0000-00001E010000}"/>
    <cellStyle name="20% - Accent2 4" xfId="624" xr:uid="{00000000-0005-0000-0000-00001F010000}"/>
    <cellStyle name="20% - Accent3 2" xfId="298" xr:uid="{00000000-0005-0000-0000-000020010000}"/>
    <cellStyle name="20% - Accent3 3" xfId="299" xr:uid="{00000000-0005-0000-0000-000021010000}"/>
    <cellStyle name="20% - Accent3 4" xfId="620" xr:uid="{00000000-0005-0000-0000-000022010000}"/>
    <cellStyle name="20% - Accent4 2" xfId="300" xr:uid="{00000000-0005-0000-0000-000023010000}"/>
    <cellStyle name="20% - Accent4 3" xfId="301" xr:uid="{00000000-0005-0000-0000-000024010000}"/>
    <cellStyle name="20% - Accent4 4" xfId="623" xr:uid="{00000000-0005-0000-0000-000025010000}"/>
    <cellStyle name="20% - Accent5 2" xfId="302" xr:uid="{00000000-0005-0000-0000-000026010000}"/>
    <cellStyle name="20% - Accent5 3" xfId="303" xr:uid="{00000000-0005-0000-0000-000027010000}"/>
    <cellStyle name="20% - Accent5 4" xfId="621" xr:uid="{00000000-0005-0000-0000-000028010000}"/>
    <cellStyle name="20% - Accent6 2" xfId="304" xr:uid="{00000000-0005-0000-0000-000029010000}"/>
    <cellStyle name="20% - Accent6 3" xfId="305" xr:uid="{00000000-0005-0000-0000-00002A010000}"/>
    <cellStyle name="20% - Accent6 4" xfId="626" xr:uid="{00000000-0005-0000-0000-00002B010000}"/>
    <cellStyle name="40% - Accent1 2" xfId="306" xr:uid="{00000000-0005-0000-0000-00002C010000}"/>
    <cellStyle name="40% - Accent1 3" xfId="307" xr:uid="{00000000-0005-0000-0000-00002D010000}"/>
    <cellStyle name="40% - Accent1 4" xfId="617" xr:uid="{00000000-0005-0000-0000-00002E010000}"/>
    <cellStyle name="40% - Accent2 2" xfId="308" xr:uid="{00000000-0005-0000-0000-00002F010000}"/>
    <cellStyle name="40% - Accent2 3" xfId="309" xr:uid="{00000000-0005-0000-0000-000030010000}"/>
    <cellStyle name="40% - Accent2 4" xfId="613" xr:uid="{00000000-0005-0000-0000-000031010000}"/>
    <cellStyle name="40% - Accent3 2" xfId="310" xr:uid="{00000000-0005-0000-0000-000032010000}"/>
    <cellStyle name="40% - Accent3 3" xfId="311" xr:uid="{00000000-0005-0000-0000-000033010000}"/>
    <cellStyle name="40% - Accent3 4" xfId="612" xr:uid="{00000000-0005-0000-0000-000034010000}"/>
    <cellStyle name="40% - Accent4 2" xfId="312" xr:uid="{00000000-0005-0000-0000-000035010000}"/>
    <cellStyle name="40% - Accent4 3" xfId="313" xr:uid="{00000000-0005-0000-0000-000036010000}"/>
    <cellStyle name="40% - Accent4 4" xfId="611" xr:uid="{00000000-0005-0000-0000-000037010000}"/>
    <cellStyle name="40% - Accent5 2" xfId="314" xr:uid="{00000000-0005-0000-0000-000038010000}"/>
    <cellStyle name="40% - Accent5 3" xfId="315" xr:uid="{00000000-0005-0000-0000-000039010000}"/>
    <cellStyle name="40% - Accent5 4" xfId="610" xr:uid="{00000000-0005-0000-0000-00003A010000}"/>
    <cellStyle name="40% - Accent6 2" xfId="316" xr:uid="{00000000-0005-0000-0000-00003B010000}"/>
    <cellStyle name="40% - Accent6 3" xfId="317" xr:uid="{00000000-0005-0000-0000-00003C010000}"/>
    <cellStyle name="40% - Accent6 4" xfId="609" xr:uid="{00000000-0005-0000-0000-00003D010000}"/>
    <cellStyle name="60% - Accent1 2" xfId="318" xr:uid="{00000000-0005-0000-0000-00003E010000}"/>
    <cellStyle name="60% - Accent1 3" xfId="319" xr:uid="{00000000-0005-0000-0000-00003F010000}"/>
    <cellStyle name="60% - Accent1 4" xfId="608" xr:uid="{00000000-0005-0000-0000-000040010000}"/>
    <cellStyle name="60% - Accent2 2" xfId="320" xr:uid="{00000000-0005-0000-0000-000041010000}"/>
    <cellStyle name="60% - Accent2 3" xfId="321" xr:uid="{00000000-0005-0000-0000-000042010000}"/>
    <cellStyle name="60% - Accent2 4" xfId="607" xr:uid="{00000000-0005-0000-0000-000043010000}"/>
    <cellStyle name="60% - Accent3 2" xfId="322" xr:uid="{00000000-0005-0000-0000-000044010000}"/>
    <cellStyle name="60% - Accent3 3" xfId="323" xr:uid="{00000000-0005-0000-0000-000045010000}"/>
    <cellStyle name="60% - Accent3 4" xfId="606" xr:uid="{00000000-0005-0000-0000-000046010000}"/>
    <cellStyle name="60% - Accent4 2" xfId="324" xr:uid="{00000000-0005-0000-0000-000047010000}"/>
    <cellStyle name="60% - Accent4 3" xfId="325" xr:uid="{00000000-0005-0000-0000-000048010000}"/>
    <cellStyle name="60% - Accent4 4" xfId="605" xr:uid="{00000000-0005-0000-0000-000049010000}"/>
    <cellStyle name="60% - Accent5 2" xfId="326" xr:uid="{00000000-0005-0000-0000-00004A010000}"/>
    <cellStyle name="60% - Accent5 3" xfId="327" xr:uid="{00000000-0005-0000-0000-00004B010000}"/>
    <cellStyle name="60% - Accent5 4" xfId="604" xr:uid="{00000000-0005-0000-0000-00004C010000}"/>
    <cellStyle name="60% - Accent6 2" xfId="328" xr:uid="{00000000-0005-0000-0000-00004D010000}"/>
    <cellStyle name="60% - Accent6 3" xfId="329" xr:uid="{00000000-0005-0000-0000-00004E010000}"/>
    <cellStyle name="60% - Accent6 4" xfId="603" xr:uid="{00000000-0005-0000-0000-00004F010000}"/>
    <cellStyle name="Accent1 - 20%" xfId="330" xr:uid="{00000000-0005-0000-0000-000050010000}"/>
    <cellStyle name="Accent1 - 40%" xfId="331" xr:uid="{00000000-0005-0000-0000-000051010000}"/>
    <cellStyle name="Accent1 - 60%" xfId="332" xr:uid="{00000000-0005-0000-0000-000052010000}"/>
    <cellStyle name="Accent1 10" xfId="670" xr:uid="{00000000-0005-0000-0000-000053010000}"/>
    <cellStyle name="Accent1 11" xfId="628" xr:uid="{00000000-0005-0000-0000-000054010000}"/>
    <cellStyle name="Accent1 12" xfId="675" xr:uid="{00000000-0005-0000-0000-000055010000}"/>
    <cellStyle name="Accent1 13" xfId="682" xr:uid="{00000000-0005-0000-0000-000056010000}"/>
    <cellStyle name="Accent1 14" xfId="689" xr:uid="{00000000-0005-0000-0000-000057010000}"/>
    <cellStyle name="Accent1 15" xfId="696" xr:uid="{00000000-0005-0000-0000-000058010000}"/>
    <cellStyle name="Accent1 16" xfId="703" xr:uid="{00000000-0005-0000-0000-000059010000}"/>
    <cellStyle name="Accent1 17" xfId="709" xr:uid="{00000000-0005-0000-0000-00005A010000}"/>
    <cellStyle name="Accent1 18" xfId="718" xr:uid="{00000000-0005-0000-0000-00005B010000}"/>
    <cellStyle name="Accent1 19" xfId="723" xr:uid="{00000000-0005-0000-0000-00005C010000}"/>
    <cellStyle name="Accent1 2" xfId="333" xr:uid="{00000000-0005-0000-0000-00005D010000}"/>
    <cellStyle name="Accent1 20" xfId="732" xr:uid="{00000000-0005-0000-0000-00005E010000}"/>
    <cellStyle name="Accent1 21" xfId="737" xr:uid="{00000000-0005-0000-0000-00005F010000}"/>
    <cellStyle name="Accent1 22" xfId="746" xr:uid="{00000000-0005-0000-0000-000060010000}"/>
    <cellStyle name="Accent1 23" xfId="751" xr:uid="{00000000-0005-0000-0000-000061010000}"/>
    <cellStyle name="Accent1 24" xfId="759" xr:uid="{00000000-0005-0000-0000-000062010000}"/>
    <cellStyle name="Accent1 25" xfId="766" xr:uid="{00000000-0005-0000-0000-000063010000}"/>
    <cellStyle name="Accent1 26" xfId="773" xr:uid="{00000000-0005-0000-0000-000064010000}"/>
    <cellStyle name="Accent1 27" xfId="780" xr:uid="{00000000-0005-0000-0000-000065010000}"/>
    <cellStyle name="Accent1 28" xfId="787" xr:uid="{00000000-0005-0000-0000-000066010000}"/>
    <cellStyle name="Accent1 29" xfId="794" xr:uid="{00000000-0005-0000-0000-000067010000}"/>
    <cellStyle name="Accent1 3" xfId="334" xr:uid="{00000000-0005-0000-0000-000068010000}"/>
    <cellStyle name="Accent1 30" xfId="801" xr:uid="{00000000-0005-0000-0000-000069010000}"/>
    <cellStyle name="Accent1 31" xfId="805" xr:uid="{00000000-0005-0000-0000-00006A010000}"/>
    <cellStyle name="Accent1 32" xfId="832" xr:uid="{00000000-0005-0000-0000-00006B010000}"/>
    <cellStyle name="Accent1 33" xfId="840" xr:uid="{00000000-0005-0000-0000-00006C010000}"/>
    <cellStyle name="Accent1 34" xfId="817" xr:uid="{00000000-0005-0000-0000-00006D010000}"/>
    <cellStyle name="Accent1 35" xfId="844" xr:uid="{00000000-0005-0000-0000-00006E010000}"/>
    <cellStyle name="Accent1 36" xfId="861" xr:uid="{00000000-0005-0000-0000-00006F010000}"/>
    <cellStyle name="Accent1 37" xfId="849" xr:uid="{00000000-0005-0000-0000-000070010000}"/>
    <cellStyle name="Accent1 38" xfId="866" xr:uid="{00000000-0005-0000-0000-000071010000}"/>
    <cellStyle name="Accent1 39" xfId="854" xr:uid="{00000000-0005-0000-0000-000072010000}"/>
    <cellStyle name="Accent1 4" xfId="602" xr:uid="{00000000-0005-0000-0000-000073010000}"/>
    <cellStyle name="Accent1 40" xfId="871" xr:uid="{00000000-0005-0000-0000-000074010000}"/>
    <cellStyle name="Accent1 41" xfId="878" xr:uid="{00000000-0005-0000-0000-000075010000}"/>
    <cellStyle name="Accent1 42" xfId="885" xr:uid="{00000000-0005-0000-0000-000076010000}"/>
    <cellStyle name="Accent1 43" xfId="892" xr:uid="{00000000-0005-0000-0000-000077010000}"/>
    <cellStyle name="Accent1 44" xfId="899" xr:uid="{00000000-0005-0000-0000-000078010000}"/>
    <cellStyle name="Accent1 45" xfId="906" xr:uid="{00000000-0005-0000-0000-000079010000}"/>
    <cellStyle name="Accent1 46" xfId="913" xr:uid="{00000000-0005-0000-0000-00007A010000}"/>
    <cellStyle name="Accent1 47" xfId="920" xr:uid="{00000000-0005-0000-0000-00007B010000}"/>
    <cellStyle name="Accent1 48" xfId="927" xr:uid="{00000000-0005-0000-0000-00007C010000}"/>
    <cellStyle name="Accent1 49" xfId="934" xr:uid="{00000000-0005-0000-0000-00007D010000}"/>
    <cellStyle name="Accent1 5" xfId="643" xr:uid="{00000000-0005-0000-0000-00007E010000}"/>
    <cellStyle name="Accent1 50" xfId="941" xr:uid="{00000000-0005-0000-0000-00007F010000}"/>
    <cellStyle name="Accent1 51" xfId="948" xr:uid="{00000000-0005-0000-0000-000080010000}"/>
    <cellStyle name="Accent1 52" xfId="955" xr:uid="{00000000-0005-0000-0000-000081010000}"/>
    <cellStyle name="Accent1 53" xfId="962" xr:uid="{00000000-0005-0000-0000-000082010000}"/>
    <cellStyle name="Accent1 54" xfId="969" xr:uid="{00000000-0005-0000-0000-000083010000}"/>
    <cellStyle name="Accent1 55" xfId="976" xr:uid="{00000000-0005-0000-0000-000084010000}"/>
    <cellStyle name="Accent1 56" xfId="980" xr:uid="{00000000-0005-0000-0000-000085010000}"/>
    <cellStyle name="Accent1 57" xfId="990" xr:uid="{00000000-0005-0000-0000-000086010000}"/>
    <cellStyle name="Accent1 6" xfId="660" xr:uid="{00000000-0005-0000-0000-000087010000}"/>
    <cellStyle name="Accent1 7" xfId="638" xr:uid="{00000000-0005-0000-0000-000088010000}"/>
    <cellStyle name="Accent1 8" xfId="665" xr:uid="{00000000-0005-0000-0000-000089010000}"/>
    <cellStyle name="Accent1 9" xfId="633" xr:uid="{00000000-0005-0000-0000-00008A010000}"/>
    <cellStyle name="Accent2 - 20%" xfId="335" xr:uid="{00000000-0005-0000-0000-00008B010000}"/>
    <cellStyle name="Accent2 - 40%" xfId="336" xr:uid="{00000000-0005-0000-0000-00008C010000}"/>
    <cellStyle name="Accent2 - 60%" xfId="337" xr:uid="{00000000-0005-0000-0000-00008D010000}"/>
    <cellStyle name="Accent2 10" xfId="669" xr:uid="{00000000-0005-0000-0000-00008E010000}"/>
    <cellStyle name="Accent2 11" xfId="629" xr:uid="{00000000-0005-0000-0000-00008F010000}"/>
    <cellStyle name="Accent2 12" xfId="674" xr:uid="{00000000-0005-0000-0000-000090010000}"/>
    <cellStyle name="Accent2 13" xfId="681" xr:uid="{00000000-0005-0000-0000-000091010000}"/>
    <cellStyle name="Accent2 14" xfId="688" xr:uid="{00000000-0005-0000-0000-000092010000}"/>
    <cellStyle name="Accent2 15" xfId="695" xr:uid="{00000000-0005-0000-0000-000093010000}"/>
    <cellStyle name="Accent2 16" xfId="702" xr:uid="{00000000-0005-0000-0000-000094010000}"/>
    <cellStyle name="Accent2 17" xfId="699" xr:uid="{00000000-0005-0000-0000-000095010000}"/>
    <cellStyle name="Accent2 18" xfId="717" xr:uid="{00000000-0005-0000-0000-000096010000}"/>
    <cellStyle name="Accent2 19" xfId="713" xr:uid="{00000000-0005-0000-0000-000097010000}"/>
    <cellStyle name="Accent2 2" xfId="338" xr:uid="{00000000-0005-0000-0000-000098010000}"/>
    <cellStyle name="Accent2 20" xfId="731" xr:uid="{00000000-0005-0000-0000-000099010000}"/>
    <cellStyle name="Accent2 21" xfId="727" xr:uid="{00000000-0005-0000-0000-00009A010000}"/>
    <cellStyle name="Accent2 22" xfId="745" xr:uid="{00000000-0005-0000-0000-00009B010000}"/>
    <cellStyle name="Accent2 23" xfId="741" xr:uid="{00000000-0005-0000-0000-00009C010000}"/>
    <cellStyle name="Accent2 24" xfId="758" xr:uid="{00000000-0005-0000-0000-00009D010000}"/>
    <cellStyle name="Accent2 25" xfId="765" xr:uid="{00000000-0005-0000-0000-00009E010000}"/>
    <cellStyle name="Accent2 26" xfId="772" xr:uid="{00000000-0005-0000-0000-00009F010000}"/>
    <cellStyle name="Accent2 27" xfId="779" xr:uid="{00000000-0005-0000-0000-0000A0010000}"/>
    <cellStyle name="Accent2 28" xfId="786" xr:uid="{00000000-0005-0000-0000-0000A1010000}"/>
    <cellStyle name="Accent2 29" xfId="793" xr:uid="{00000000-0005-0000-0000-0000A2010000}"/>
    <cellStyle name="Accent2 3" xfId="339" xr:uid="{00000000-0005-0000-0000-0000A3010000}"/>
    <cellStyle name="Accent2 30" xfId="800" xr:uid="{00000000-0005-0000-0000-0000A4010000}"/>
    <cellStyle name="Accent2 31" xfId="804" xr:uid="{00000000-0005-0000-0000-0000A5010000}"/>
    <cellStyle name="Accent2 32" xfId="833" xr:uid="{00000000-0005-0000-0000-0000A6010000}"/>
    <cellStyle name="Accent2 33" xfId="839" xr:uid="{00000000-0005-0000-0000-0000A7010000}"/>
    <cellStyle name="Accent2 34" xfId="818" xr:uid="{00000000-0005-0000-0000-0000A8010000}"/>
    <cellStyle name="Accent2 35" xfId="843" xr:uid="{00000000-0005-0000-0000-0000A9010000}"/>
    <cellStyle name="Accent2 36" xfId="860" xr:uid="{00000000-0005-0000-0000-0000AA010000}"/>
    <cellStyle name="Accent2 37" xfId="848" xr:uid="{00000000-0005-0000-0000-0000AB010000}"/>
    <cellStyle name="Accent2 38" xfId="865" xr:uid="{00000000-0005-0000-0000-0000AC010000}"/>
    <cellStyle name="Accent2 39" xfId="853" xr:uid="{00000000-0005-0000-0000-0000AD010000}"/>
    <cellStyle name="Accent2 4" xfId="601" xr:uid="{00000000-0005-0000-0000-0000AE010000}"/>
    <cellStyle name="Accent2 40" xfId="870" xr:uid="{00000000-0005-0000-0000-0000AF010000}"/>
    <cellStyle name="Accent2 41" xfId="877" xr:uid="{00000000-0005-0000-0000-0000B0010000}"/>
    <cellStyle name="Accent2 42" xfId="884" xr:uid="{00000000-0005-0000-0000-0000B1010000}"/>
    <cellStyle name="Accent2 43" xfId="891" xr:uid="{00000000-0005-0000-0000-0000B2010000}"/>
    <cellStyle name="Accent2 44" xfId="898" xr:uid="{00000000-0005-0000-0000-0000B3010000}"/>
    <cellStyle name="Accent2 45" xfId="905" xr:uid="{00000000-0005-0000-0000-0000B4010000}"/>
    <cellStyle name="Accent2 46" xfId="912" xr:uid="{00000000-0005-0000-0000-0000B5010000}"/>
    <cellStyle name="Accent2 47" xfId="919" xr:uid="{00000000-0005-0000-0000-0000B6010000}"/>
    <cellStyle name="Accent2 48" xfId="926" xr:uid="{00000000-0005-0000-0000-0000B7010000}"/>
    <cellStyle name="Accent2 49" xfId="933" xr:uid="{00000000-0005-0000-0000-0000B8010000}"/>
    <cellStyle name="Accent2 5" xfId="644" xr:uid="{00000000-0005-0000-0000-0000B9010000}"/>
    <cellStyle name="Accent2 50" xfId="940" xr:uid="{00000000-0005-0000-0000-0000BA010000}"/>
    <cellStyle name="Accent2 51" xfId="947" xr:uid="{00000000-0005-0000-0000-0000BB010000}"/>
    <cellStyle name="Accent2 52" xfId="954" xr:uid="{00000000-0005-0000-0000-0000BC010000}"/>
    <cellStyle name="Accent2 53" xfId="961" xr:uid="{00000000-0005-0000-0000-0000BD010000}"/>
    <cellStyle name="Accent2 54" xfId="968" xr:uid="{00000000-0005-0000-0000-0000BE010000}"/>
    <cellStyle name="Accent2 55" xfId="975" xr:uid="{00000000-0005-0000-0000-0000BF010000}"/>
    <cellStyle name="Accent2 56" xfId="979" xr:uid="{00000000-0005-0000-0000-0000C0010000}"/>
    <cellStyle name="Accent2 57" xfId="991" xr:uid="{00000000-0005-0000-0000-0000C1010000}"/>
    <cellStyle name="Accent2 6" xfId="659" xr:uid="{00000000-0005-0000-0000-0000C2010000}"/>
    <cellStyle name="Accent2 7" xfId="639" xr:uid="{00000000-0005-0000-0000-0000C3010000}"/>
    <cellStyle name="Accent2 8" xfId="664" xr:uid="{00000000-0005-0000-0000-0000C4010000}"/>
    <cellStyle name="Accent2 9" xfId="634" xr:uid="{00000000-0005-0000-0000-0000C5010000}"/>
    <cellStyle name="Accent3 - 20%" xfId="340" xr:uid="{00000000-0005-0000-0000-0000C6010000}"/>
    <cellStyle name="Accent3 - 40%" xfId="341" xr:uid="{00000000-0005-0000-0000-0000C7010000}"/>
    <cellStyle name="Accent3 - 60%" xfId="342" xr:uid="{00000000-0005-0000-0000-0000C8010000}"/>
    <cellStyle name="Accent3 10" xfId="668" xr:uid="{00000000-0005-0000-0000-0000C9010000}"/>
    <cellStyle name="Accent3 11" xfId="630" xr:uid="{00000000-0005-0000-0000-0000CA010000}"/>
    <cellStyle name="Accent3 12" xfId="673" xr:uid="{00000000-0005-0000-0000-0000CB010000}"/>
    <cellStyle name="Accent3 13" xfId="582" xr:uid="{00000000-0005-0000-0000-0000CC010000}"/>
    <cellStyle name="Accent3 14" xfId="678" xr:uid="{00000000-0005-0000-0000-0000CD010000}"/>
    <cellStyle name="Accent3 15" xfId="685" xr:uid="{00000000-0005-0000-0000-0000CE010000}"/>
    <cellStyle name="Accent3 16" xfId="692" xr:uid="{00000000-0005-0000-0000-0000CF010000}"/>
    <cellStyle name="Accent3 17" xfId="698" xr:uid="{00000000-0005-0000-0000-0000D0010000}"/>
    <cellStyle name="Accent3 18" xfId="716" xr:uid="{00000000-0005-0000-0000-0000D1010000}"/>
    <cellStyle name="Accent3 19" xfId="712" xr:uid="{00000000-0005-0000-0000-0000D2010000}"/>
    <cellStyle name="Accent3 2" xfId="343" xr:uid="{00000000-0005-0000-0000-0000D3010000}"/>
    <cellStyle name="Accent3 20" xfId="730" xr:uid="{00000000-0005-0000-0000-0000D4010000}"/>
    <cellStyle name="Accent3 21" xfId="726" xr:uid="{00000000-0005-0000-0000-0000D5010000}"/>
    <cellStyle name="Accent3 22" xfId="744" xr:uid="{00000000-0005-0000-0000-0000D6010000}"/>
    <cellStyle name="Accent3 23" xfId="740" xr:uid="{00000000-0005-0000-0000-0000D7010000}"/>
    <cellStyle name="Accent3 24" xfId="757" xr:uid="{00000000-0005-0000-0000-0000D8010000}"/>
    <cellStyle name="Accent3 25" xfId="754" xr:uid="{00000000-0005-0000-0000-0000D9010000}"/>
    <cellStyle name="Accent3 26" xfId="762" xr:uid="{00000000-0005-0000-0000-0000DA010000}"/>
    <cellStyle name="Accent3 27" xfId="769" xr:uid="{00000000-0005-0000-0000-0000DB010000}"/>
    <cellStyle name="Accent3 28" xfId="776" xr:uid="{00000000-0005-0000-0000-0000DC010000}"/>
    <cellStyle name="Accent3 29" xfId="783" xr:uid="{00000000-0005-0000-0000-0000DD010000}"/>
    <cellStyle name="Accent3 3" xfId="344" xr:uid="{00000000-0005-0000-0000-0000DE010000}"/>
    <cellStyle name="Accent3 30" xfId="790" xr:uid="{00000000-0005-0000-0000-0000DF010000}"/>
    <cellStyle name="Accent3 31" xfId="797" xr:uid="{00000000-0005-0000-0000-0000E0010000}"/>
    <cellStyle name="Accent3 32" xfId="834" xr:uid="{00000000-0005-0000-0000-0000E1010000}"/>
    <cellStyle name="Accent3 33" xfId="838" xr:uid="{00000000-0005-0000-0000-0000E2010000}"/>
    <cellStyle name="Accent3 34" xfId="819" xr:uid="{00000000-0005-0000-0000-0000E3010000}"/>
    <cellStyle name="Accent3 35" xfId="842" xr:uid="{00000000-0005-0000-0000-0000E4010000}"/>
    <cellStyle name="Accent3 36" xfId="814" xr:uid="{00000000-0005-0000-0000-0000E5010000}"/>
    <cellStyle name="Accent3 37" xfId="847" xr:uid="{00000000-0005-0000-0000-0000E6010000}"/>
    <cellStyle name="Accent3 38" xfId="864" xr:uid="{00000000-0005-0000-0000-0000E7010000}"/>
    <cellStyle name="Accent3 39" xfId="852" xr:uid="{00000000-0005-0000-0000-0000E8010000}"/>
    <cellStyle name="Accent3 4" xfId="600" xr:uid="{00000000-0005-0000-0000-0000E9010000}"/>
    <cellStyle name="Accent3 40" xfId="869" xr:uid="{00000000-0005-0000-0000-0000EA010000}"/>
    <cellStyle name="Accent3 41" xfId="857" xr:uid="{00000000-0005-0000-0000-0000EB010000}"/>
    <cellStyle name="Accent3 42" xfId="874" xr:uid="{00000000-0005-0000-0000-0000EC010000}"/>
    <cellStyle name="Accent3 43" xfId="881" xr:uid="{00000000-0005-0000-0000-0000ED010000}"/>
    <cellStyle name="Accent3 44" xfId="888" xr:uid="{00000000-0005-0000-0000-0000EE010000}"/>
    <cellStyle name="Accent3 45" xfId="895" xr:uid="{00000000-0005-0000-0000-0000EF010000}"/>
    <cellStyle name="Accent3 46" xfId="902" xr:uid="{00000000-0005-0000-0000-0000F0010000}"/>
    <cellStyle name="Accent3 47" xfId="909" xr:uid="{00000000-0005-0000-0000-0000F1010000}"/>
    <cellStyle name="Accent3 48" xfId="916" xr:uid="{00000000-0005-0000-0000-0000F2010000}"/>
    <cellStyle name="Accent3 49" xfId="923" xr:uid="{00000000-0005-0000-0000-0000F3010000}"/>
    <cellStyle name="Accent3 5" xfId="645" xr:uid="{00000000-0005-0000-0000-0000F4010000}"/>
    <cellStyle name="Accent3 50" xfId="930" xr:uid="{00000000-0005-0000-0000-0000F5010000}"/>
    <cellStyle name="Accent3 51" xfId="937" xr:uid="{00000000-0005-0000-0000-0000F6010000}"/>
    <cellStyle name="Accent3 52" xfId="944" xr:uid="{00000000-0005-0000-0000-0000F7010000}"/>
    <cellStyle name="Accent3 53" xfId="951" xr:uid="{00000000-0005-0000-0000-0000F8010000}"/>
    <cellStyle name="Accent3 54" xfId="958" xr:uid="{00000000-0005-0000-0000-0000F9010000}"/>
    <cellStyle name="Accent3 55" xfId="965" xr:uid="{00000000-0005-0000-0000-0000FA010000}"/>
    <cellStyle name="Accent3 56" xfId="972" xr:uid="{00000000-0005-0000-0000-0000FB010000}"/>
    <cellStyle name="Accent3 57" xfId="992" xr:uid="{00000000-0005-0000-0000-0000FC010000}"/>
    <cellStyle name="Accent3 6" xfId="658" xr:uid="{00000000-0005-0000-0000-0000FD010000}"/>
    <cellStyle name="Accent3 7" xfId="640" xr:uid="{00000000-0005-0000-0000-0000FE010000}"/>
    <cellStyle name="Accent3 8" xfId="663" xr:uid="{00000000-0005-0000-0000-0000FF010000}"/>
    <cellStyle name="Accent3 9" xfId="635" xr:uid="{00000000-0005-0000-0000-000000020000}"/>
    <cellStyle name="Accent4 - 20%" xfId="345" xr:uid="{00000000-0005-0000-0000-000001020000}"/>
    <cellStyle name="Accent4 - 40%" xfId="346" xr:uid="{00000000-0005-0000-0000-000002020000}"/>
    <cellStyle name="Accent4 - 60%" xfId="347" xr:uid="{00000000-0005-0000-0000-000003020000}"/>
    <cellStyle name="Accent4 10" xfId="667" xr:uid="{00000000-0005-0000-0000-000004020000}"/>
    <cellStyle name="Accent4 11" xfId="631" xr:uid="{00000000-0005-0000-0000-000005020000}"/>
    <cellStyle name="Accent4 12" xfId="672" xr:uid="{00000000-0005-0000-0000-000006020000}"/>
    <cellStyle name="Accent4 13" xfId="583" xr:uid="{00000000-0005-0000-0000-000007020000}"/>
    <cellStyle name="Accent4 14" xfId="677" xr:uid="{00000000-0005-0000-0000-000008020000}"/>
    <cellStyle name="Accent4 15" xfId="684" xr:uid="{00000000-0005-0000-0000-000009020000}"/>
    <cellStyle name="Accent4 16" xfId="691" xr:uid="{00000000-0005-0000-0000-00000A020000}"/>
    <cellStyle name="Accent4 17" xfId="697" xr:uid="{00000000-0005-0000-0000-00000B020000}"/>
    <cellStyle name="Accent4 18" xfId="706" xr:uid="{00000000-0005-0000-0000-00000C020000}"/>
    <cellStyle name="Accent4 19" xfId="711" xr:uid="{00000000-0005-0000-0000-00000D020000}"/>
    <cellStyle name="Accent4 2" xfId="348" xr:uid="{00000000-0005-0000-0000-00000E020000}"/>
    <cellStyle name="Accent4 20" xfId="720" xr:uid="{00000000-0005-0000-0000-00000F020000}"/>
    <cellStyle name="Accent4 21" xfId="725" xr:uid="{00000000-0005-0000-0000-000010020000}"/>
    <cellStyle name="Accent4 22" xfId="734" xr:uid="{00000000-0005-0000-0000-000011020000}"/>
    <cellStyle name="Accent4 23" xfId="739" xr:uid="{00000000-0005-0000-0000-000012020000}"/>
    <cellStyle name="Accent4 24" xfId="748" xr:uid="{00000000-0005-0000-0000-000013020000}"/>
    <cellStyle name="Accent4 25" xfId="753" xr:uid="{00000000-0005-0000-0000-000014020000}"/>
    <cellStyle name="Accent4 26" xfId="761" xr:uid="{00000000-0005-0000-0000-000015020000}"/>
    <cellStyle name="Accent4 27" xfId="768" xr:uid="{00000000-0005-0000-0000-000016020000}"/>
    <cellStyle name="Accent4 28" xfId="775" xr:uid="{00000000-0005-0000-0000-000017020000}"/>
    <cellStyle name="Accent4 29" xfId="782" xr:uid="{00000000-0005-0000-0000-000018020000}"/>
    <cellStyle name="Accent4 3" xfId="349" xr:uid="{00000000-0005-0000-0000-000019020000}"/>
    <cellStyle name="Accent4 30" xfId="789" xr:uid="{00000000-0005-0000-0000-00001A020000}"/>
    <cellStyle name="Accent4 31" xfId="796" xr:uid="{00000000-0005-0000-0000-00001B020000}"/>
    <cellStyle name="Accent4 32" xfId="835" xr:uid="{00000000-0005-0000-0000-00001C020000}"/>
    <cellStyle name="Accent4 33" xfId="831" xr:uid="{00000000-0005-0000-0000-00001D020000}"/>
    <cellStyle name="Accent4 34" xfId="820" xr:uid="{00000000-0005-0000-0000-00001E020000}"/>
    <cellStyle name="Accent4 35" xfId="841" xr:uid="{00000000-0005-0000-0000-00001F020000}"/>
    <cellStyle name="Accent4 36" xfId="815" xr:uid="{00000000-0005-0000-0000-000020020000}"/>
    <cellStyle name="Accent4 37" xfId="846" xr:uid="{00000000-0005-0000-0000-000021020000}"/>
    <cellStyle name="Accent4 38" xfId="863" xr:uid="{00000000-0005-0000-0000-000022020000}"/>
    <cellStyle name="Accent4 39" xfId="851" xr:uid="{00000000-0005-0000-0000-000023020000}"/>
    <cellStyle name="Accent4 4" xfId="599" xr:uid="{00000000-0005-0000-0000-000024020000}"/>
    <cellStyle name="Accent4 40" xfId="868" xr:uid="{00000000-0005-0000-0000-000025020000}"/>
    <cellStyle name="Accent4 41" xfId="856" xr:uid="{00000000-0005-0000-0000-000026020000}"/>
    <cellStyle name="Accent4 42" xfId="873" xr:uid="{00000000-0005-0000-0000-000027020000}"/>
    <cellStyle name="Accent4 43" xfId="880" xr:uid="{00000000-0005-0000-0000-000028020000}"/>
    <cellStyle name="Accent4 44" xfId="887" xr:uid="{00000000-0005-0000-0000-000029020000}"/>
    <cellStyle name="Accent4 45" xfId="894" xr:uid="{00000000-0005-0000-0000-00002A020000}"/>
    <cellStyle name="Accent4 46" xfId="901" xr:uid="{00000000-0005-0000-0000-00002B020000}"/>
    <cellStyle name="Accent4 47" xfId="908" xr:uid="{00000000-0005-0000-0000-00002C020000}"/>
    <cellStyle name="Accent4 48" xfId="915" xr:uid="{00000000-0005-0000-0000-00002D020000}"/>
    <cellStyle name="Accent4 49" xfId="922" xr:uid="{00000000-0005-0000-0000-00002E020000}"/>
    <cellStyle name="Accent4 5" xfId="646" xr:uid="{00000000-0005-0000-0000-00002F020000}"/>
    <cellStyle name="Accent4 50" xfId="929" xr:uid="{00000000-0005-0000-0000-000030020000}"/>
    <cellStyle name="Accent4 51" xfId="936" xr:uid="{00000000-0005-0000-0000-000031020000}"/>
    <cellStyle name="Accent4 52" xfId="943" xr:uid="{00000000-0005-0000-0000-000032020000}"/>
    <cellStyle name="Accent4 53" xfId="950" xr:uid="{00000000-0005-0000-0000-000033020000}"/>
    <cellStyle name="Accent4 54" xfId="957" xr:uid="{00000000-0005-0000-0000-000034020000}"/>
    <cellStyle name="Accent4 55" xfId="964" xr:uid="{00000000-0005-0000-0000-000035020000}"/>
    <cellStyle name="Accent4 56" xfId="971" xr:uid="{00000000-0005-0000-0000-000036020000}"/>
    <cellStyle name="Accent4 57" xfId="993" xr:uid="{00000000-0005-0000-0000-000037020000}"/>
    <cellStyle name="Accent4 6" xfId="657" xr:uid="{00000000-0005-0000-0000-000038020000}"/>
    <cellStyle name="Accent4 7" xfId="641" xr:uid="{00000000-0005-0000-0000-000039020000}"/>
    <cellStyle name="Accent4 8" xfId="662" xr:uid="{00000000-0005-0000-0000-00003A020000}"/>
    <cellStyle name="Accent4 9" xfId="636" xr:uid="{00000000-0005-0000-0000-00003B020000}"/>
    <cellStyle name="Accent5 - 20%" xfId="350" xr:uid="{00000000-0005-0000-0000-00003C020000}"/>
    <cellStyle name="Accent5 - 40%" xfId="351" xr:uid="{00000000-0005-0000-0000-00003D020000}"/>
    <cellStyle name="Accent5 - 60%" xfId="352" xr:uid="{00000000-0005-0000-0000-00003E020000}"/>
    <cellStyle name="Accent5 10" xfId="666" xr:uid="{00000000-0005-0000-0000-00003F020000}"/>
    <cellStyle name="Accent5 11" xfId="632" xr:uid="{00000000-0005-0000-0000-000040020000}"/>
    <cellStyle name="Accent5 12" xfId="671" xr:uid="{00000000-0005-0000-0000-000041020000}"/>
    <cellStyle name="Accent5 13" xfId="584" xr:uid="{00000000-0005-0000-0000-000042020000}"/>
    <cellStyle name="Accent5 14" xfId="676" xr:uid="{00000000-0005-0000-0000-000043020000}"/>
    <cellStyle name="Accent5 15" xfId="683" xr:uid="{00000000-0005-0000-0000-000044020000}"/>
    <cellStyle name="Accent5 16" xfId="690" xr:uid="{00000000-0005-0000-0000-000045020000}"/>
    <cellStyle name="Accent5 17" xfId="708" xr:uid="{00000000-0005-0000-0000-000046020000}"/>
    <cellStyle name="Accent5 18" xfId="705" xr:uid="{00000000-0005-0000-0000-000047020000}"/>
    <cellStyle name="Accent5 19" xfId="710" xr:uid="{00000000-0005-0000-0000-000048020000}"/>
    <cellStyle name="Accent5 2" xfId="353" xr:uid="{00000000-0005-0000-0000-000049020000}"/>
    <cellStyle name="Accent5 20" xfId="719" xr:uid="{00000000-0005-0000-0000-00004A020000}"/>
    <cellStyle name="Accent5 21" xfId="724" xr:uid="{00000000-0005-0000-0000-00004B020000}"/>
    <cellStyle name="Accent5 22" xfId="733" xr:uid="{00000000-0005-0000-0000-00004C020000}"/>
    <cellStyle name="Accent5 23" xfId="738" xr:uid="{00000000-0005-0000-0000-00004D020000}"/>
    <cellStyle name="Accent5 24" xfId="747" xr:uid="{00000000-0005-0000-0000-00004E020000}"/>
    <cellStyle name="Accent5 25" xfId="752" xr:uid="{00000000-0005-0000-0000-00004F020000}"/>
    <cellStyle name="Accent5 26" xfId="760" xr:uid="{00000000-0005-0000-0000-000050020000}"/>
    <cellStyle name="Accent5 27" xfId="767" xr:uid="{00000000-0005-0000-0000-000051020000}"/>
    <cellStyle name="Accent5 28" xfId="774" xr:uid="{00000000-0005-0000-0000-000052020000}"/>
    <cellStyle name="Accent5 29" xfId="781" xr:uid="{00000000-0005-0000-0000-000053020000}"/>
    <cellStyle name="Accent5 3" xfId="354" xr:uid="{00000000-0005-0000-0000-000054020000}"/>
    <cellStyle name="Accent5 30" xfId="788" xr:uid="{00000000-0005-0000-0000-000055020000}"/>
    <cellStyle name="Accent5 31" xfId="795" xr:uid="{00000000-0005-0000-0000-000056020000}"/>
    <cellStyle name="Accent5 32" xfId="836" xr:uid="{00000000-0005-0000-0000-000057020000}"/>
    <cellStyle name="Accent5 33" xfId="830" xr:uid="{00000000-0005-0000-0000-000058020000}"/>
    <cellStyle name="Accent5 34" xfId="821" xr:uid="{00000000-0005-0000-0000-000059020000}"/>
    <cellStyle name="Accent5 35" xfId="859" xr:uid="{00000000-0005-0000-0000-00005A020000}"/>
    <cellStyle name="Accent5 36" xfId="816" xr:uid="{00000000-0005-0000-0000-00005B020000}"/>
    <cellStyle name="Accent5 37" xfId="845" xr:uid="{00000000-0005-0000-0000-00005C020000}"/>
    <cellStyle name="Accent5 38" xfId="862" xr:uid="{00000000-0005-0000-0000-00005D020000}"/>
    <cellStyle name="Accent5 39" xfId="850" xr:uid="{00000000-0005-0000-0000-00005E020000}"/>
    <cellStyle name="Accent5 4" xfId="598" xr:uid="{00000000-0005-0000-0000-00005F020000}"/>
    <cellStyle name="Accent5 40" xfId="867" xr:uid="{00000000-0005-0000-0000-000060020000}"/>
    <cellStyle name="Accent5 41" xfId="855" xr:uid="{00000000-0005-0000-0000-000061020000}"/>
    <cellStyle name="Accent5 42" xfId="872" xr:uid="{00000000-0005-0000-0000-000062020000}"/>
    <cellStyle name="Accent5 43" xfId="879" xr:uid="{00000000-0005-0000-0000-000063020000}"/>
    <cellStyle name="Accent5 44" xfId="886" xr:uid="{00000000-0005-0000-0000-000064020000}"/>
    <cellStyle name="Accent5 45" xfId="893" xr:uid="{00000000-0005-0000-0000-000065020000}"/>
    <cellStyle name="Accent5 46" xfId="900" xr:uid="{00000000-0005-0000-0000-000066020000}"/>
    <cellStyle name="Accent5 47" xfId="907" xr:uid="{00000000-0005-0000-0000-000067020000}"/>
    <cellStyle name="Accent5 48" xfId="914" xr:uid="{00000000-0005-0000-0000-000068020000}"/>
    <cellStyle name="Accent5 49" xfId="921" xr:uid="{00000000-0005-0000-0000-000069020000}"/>
    <cellStyle name="Accent5 5" xfId="647" xr:uid="{00000000-0005-0000-0000-00006A020000}"/>
    <cellStyle name="Accent5 50" xfId="928" xr:uid="{00000000-0005-0000-0000-00006B020000}"/>
    <cellStyle name="Accent5 51" xfId="935" xr:uid="{00000000-0005-0000-0000-00006C020000}"/>
    <cellStyle name="Accent5 52" xfId="942" xr:uid="{00000000-0005-0000-0000-00006D020000}"/>
    <cellStyle name="Accent5 53" xfId="949" xr:uid="{00000000-0005-0000-0000-00006E020000}"/>
    <cellStyle name="Accent5 54" xfId="956" xr:uid="{00000000-0005-0000-0000-00006F020000}"/>
    <cellStyle name="Accent5 55" xfId="963" xr:uid="{00000000-0005-0000-0000-000070020000}"/>
    <cellStyle name="Accent5 56" xfId="970" xr:uid="{00000000-0005-0000-0000-000071020000}"/>
    <cellStyle name="Accent5 57" xfId="994" xr:uid="{00000000-0005-0000-0000-000072020000}"/>
    <cellStyle name="Accent5 6" xfId="656" xr:uid="{00000000-0005-0000-0000-000073020000}"/>
    <cellStyle name="Accent5 7" xfId="642" xr:uid="{00000000-0005-0000-0000-000074020000}"/>
    <cellStyle name="Accent5 8" xfId="661" xr:uid="{00000000-0005-0000-0000-000075020000}"/>
    <cellStyle name="Accent5 9" xfId="637" xr:uid="{00000000-0005-0000-0000-000076020000}"/>
    <cellStyle name="Accent6 - 20%" xfId="355" xr:uid="{00000000-0005-0000-0000-000077020000}"/>
    <cellStyle name="Accent6 - 40%" xfId="356" xr:uid="{00000000-0005-0000-0000-000078020000}"/>
    <cellStyle name="Accent6 - 60%" xfId="357" xr:uid="{00000000-0005-0000-0000-000079020000}"/>
    <cellStyle name="Accent6 10" xfId="653" xr:uid="{00000000-0005-0000-0000-00007A020000}"/>
    <cellStyle name="Accent6 11" xfId="651" xr:uid="{00000000-0005-0000-0000-00007B020000}"/>
    <cellStyle name="Accent6 12" xfId="652" xr:uid="{00000000-0005-0000-0000-00007C020000}"/>
    <cellStyle name="Accent6 13" xfId="680" xr:uid="{00000000-0005-0000-0000-00007D020000}"/>
    <cellStyle name="Accent6 14" xfId="687" xr:uid="{00000000-0005-0000-0000-00007E020000}"/>
    <cellStyle name="Accent6 15" xfId="694" xr:uid="{00000000-0005-0000-0000-00007F020000}"/>
    <cellStyle name="Accent6 16" xfId="701" xr:uid="{00000000-0005-0000-0000-000080020000}"/>
    <cellStyle name="Accent6 17" xfId="722" xr:uid="{00000000-0005-0000-0000-000081020000}"/>
    <cellStyle name="Accent6 18" xfId="704" xr:uid="{00000000-0005-0000-0000-000082020000}"/>
    <cellStyle name="Accent6 19" xfId="736" xr:uid="{00000000-0005-0000-0000-000083020000}"/>
    <cellStyle name="Accent6 2" xfId="358" xr:uid="{00000000-0005-0000-0000-000084020000}"/>
    <cellStyle name="Accent6 20" xfId="715" xr:uid="{00000000-0005-0000-0000-000085020000}"/>
    <cellStyle name="Accent6 21" xfId="750" xr:uid="{00000000-0005-0000-0000-000086020000}"/>
    <cellStyle name="Accent6 22" xfId="729" xr:uid="{00000000-0005-0000-0000-000087020000}"/>
    <cellStyle name="Accent6 23" xfId="756" xr:uid="{00000000-0005-0000-0000-000088020000}"/>
    <cellStyle name="Accent6 24" xfId="743" xr:uid="{00000000-0005-0000-0000-000089020000}"/>
    <cellStyle name="Accent6 25" xfId="764" xr:uid="{00000000-0005-0000-0000-00008A020000}"/>
    <cellStyle name="Accent6 26" xfId="771" xr:uid="{00000000-0005-0000-0000-00008B020000}"/>
    <cellStyle name="Accent6 27" xfId="778" xr:uid="{00000000-0005-0000-0000-00008C020000}"/>
    <cellStyle name="Accent6 28" xfId="785" xr:uid="{00000000-0005-0000-0000-00008D020000}"/>
    <cellStyle name="Accent6 29" xfId="792" xr:uid="{00000000-0005-0000-0000-00008E020000}"/>
    <cellStyle name="Accent6 3" xfId="359" xr:uid="{00000000-0005-0000-0000-00008F020000}"/>
    <cellStyle name="Accent6 30" xfId="799" xr:uid="{00000000-0005-0000-0000-000090020000}"/>
    <cellStyle name="Accent6 31" xfId="803" xr:uid="{00000000-0005-0000-0000-000091020000}"/>
    <cellStyle name="Accent6 32" xfId="837" xr:uid="{00000000-0005-0000-0000-000092020000}"/>
    <cellStyle name="Accent6 33" xfId="829" xr:uid="{00000000-0005-0000-0000-000093020000}"/>
    <cellStyle name="Accent6 34" xfId="822" xr:uid="{00000000-0005-0000-0000-000094020000}"/>
    <cellStyle name="Accent6 35" xfId="828" xr:uid="{00000000-0005-0000-0000-000095020000}"/>
    <cellStyle name="Accent6 36" xfId="823" xr:uid="{00000000-0005-0000-0000-000096020000}"/>
    <cellStyle name="Accent6 37" xfId="827" xr:uid="{00000000-0005-0000-0000-000097020000}"/>
    <cellStyle name="Accent6 38" xfId="824" xr:uid="{00000000-0005-0000-0000-000098020000}"/>
    <cellStyle name="Accent6 39" xfId="826" xr:uid="{00000000-0005-0000-0000-000099020000}"/>
    <cellStyle name="Accent6 4" xfId="597" xr:uid="{00000000-0005-0000-0000-00009A020000}"/>
    <cellStyle name="Accent6 40" xfId="825" xr:uid="{00000000-0005-0000-0000-00009B020000}"/>
    <cellStyle name="Accent6 41" xfId="876" xr:uid="{00000000-0005-0000-0000-00009C020000}"/>
    <cellStyle name="Accent6 42" xfId="883" xr:uid="{00000000-0005-0000-0000-00009D020000}"/>
    <cellStyle name="Accent6 43" xfId="890" xr:uid="{00000000-0005-0000-0000-00009E020000}"/>
    <cellStyle name="Accent6 44" xfId="897" xr:uid="{00000000-0005-0000-0000-00009F020000}"/>
    <cellStyle name="Accent6 45" xfId="904" xr:uid="{00000000-0005-0000-0000-0000A0020000}"/>
    <cellStyle name="Accent6 46" xfId="911" xr:uid="{00000000-0005-0000-0000-0000A1020000}"/>
    <cellStyle name="Accent6 47" xfId="918" xr:uid="{00000000-0005-0000-0000-0000A2020000}"/>
    <cellStyle name="Accent6 48" xfId="925" xr:uid="{00000000-0005-0000-0000-0000A3020000}"/>
    <cellStyle name="Accent6 49" xfId="932" xr:uid="{00000000-0005-0000-0000-0000A4020000}"/>
    <cellStyle name="Accent6 5" xfId="648" xr:uid="{00000000-0005-0000-0000-0000A5020000}"/>
    <cellStyle name="Accent6 50" xfId="939" xr:uid="{00000000-0005-0000-0000-0000A6020000}"/>
    <cellStyle name="Accent6 51" xfId="946" xr:uid="{00000000-0005-0000-0000-0000A7020000}"/>
    <cellStyle name="Accent6 52" xfId="953" xr:uid="{00000000-0005-0000-0000-0000A8020000}"/>
    <cellStyle name="Accent6 53" xfId="960" xr:uid="{00000000-0005-0000-0000-0000A9020000}"/>
    <cellStyle name="Accent6 54" xfId="967" xr:uid="{00000000-0005-0000-0000-0000AA020000}"/>
    <cellStyle name="Accent6 55" xfId="974" xr:uid="{00000000-0005-0000-0000-0000AB020000}"/>
    <cellStyle name="Accent6 56" xfId="978" xr:uid="{00000000-0005-0000-0000-0000AC020000}"/>
    <cellStyle name="Accent6 57" xfId="995" xr:uid="{00000000-0005-0000-0000-0000AD020000}"/>
    <cellStyle name="Accent6 6" xfId="655" xr:uid="{00000000-0005-0000-0000-0000AE020000}"/>
    <cellStyle name="Accent6 7" xfId="649" xr:uid="{00000000-0005-0000-0000-0000AF020000}"/>
    <cellStyle name="Accent6 8" xfId="654" xr:uid="{00000000-0005-0000-0000-0000B0020000}"/>
    <cellStyle name="Accent6 9" xfId="650" xr:uid="{00000000-0005-0000-0000-0000B1020000}"/>
    <cellStyle name="Bad 2" xfId="360" xr:uid="{00000000-0005-0000-0000-0000B2020000}"/>
    <cellStyle name="Bad 3" xfId="361" xr:uid="{00000000-0005-0000-0000-0000B3020000}"/>
    <cellStyle name="Bad 4" xfId="596" xr:uid="{00000000-0005-0000-0000-0000B4020000}"/>
    <cellStyle name="C00A" xfId="362" xr:uid="{00000000-0005-0000-0000-0000B5020000}"/>
    <cellStyle name="C00A 2" xfId="363" xr:uid="{00000000-0005-0000-0000-0000B6020000}"/>
    <cellStyle name="C00B" xfId="364" xr:uid="{00000000-0005-0000-0000-0000B7020000}"/>
    <cellStyle name="C00B 2" xfId="365" xr:uid="{00000000-0005-0000-0000-0000B8020000}"/>
    <cellStyle name="C00L" xfId="366" xr:uid="{00000000-0005-0000-0000-0000B9020000}"/>
    <cellStyle name="C01A" xfId="367" xr:uid="{00000000-0005-0000-0000-0000BA020000}"/>
    <cellStyle name="C01A 2" xfId="368" xr:uid="{00000000-0005-0000-0000-0000BB020000}"/>
    <cellStyle name="C01B" xfId="369" xr:uid="{00000000-0005-0000-0000-0000BC020000}"/>
    <cellStyle name="C01H" xfId="370" xr:uid="{00000000-0005-0000-0000-0000BD020000}"/>
    <cellStyle name="C01L" xfId="371" xr:uid="{00000000-0005-0000-0000-0000BE020000}"/>
    <cellStyle name="C02A" xfId="372" xr:uid="{00000000-0005-0000-0000-0000BF020000}"/>
    <cellStyle name="C02B" xfId="373" xr:uid="{00000000-0005-0000-0000-0000C0020000}"/>
    <cellStyle name="C02H" xfId="374" xr:uid="{00000000-0005-0000-0000-0000C1020000}"/>
    <cellStyle name="C02L" xfId="375" xr:uid="{00000000-0005-0000-0000-0000C2020000}"/>
    <cellStyle name="C03A" xfId="376" xr:uid="{00000000-0005-0000-0000-0000C3020000}"/>
    <cellStyle name="C03B" xfId="377" xr:uid="{00000000-0005-0000-0000-0000C4020000}"/>
    <cellStyle name="C03H" xfId="378" xr:uid="{00000000-0005-0000-0000-0000C5020000}"/>
    <cellStyle name="C03L" xfId="379" xr:uid="{00000000-0005-0000-0000-0000C6020000}"/>
    <cellStyle name="C04A" xfId="380" xr:uid="{00000000-0005-0000-0000-0000C7020000}"/>
    <cellStyle name="C04B" xfId="381" xr:uid="{00000000-0005-0000-0000-0000C8020000}"/>
    <cellStyle name="C04H" xfId="382" xr:uid="{00000000-0005-0000-0000-0000C9020000}"/>
    <cellStyle name="C04L" xfId="383" xr:uid="{00000000-0005-0000-0000-0000CA020000}"/>
    <cellStyle name="C04L 2" xfId="384" xr:uid="{00000000-0005-0000-0000-0000CB020000}"/>
    <cellStyle name="C05A" xfId="385" xr:uid="{00000000-0005-0000-0000-0000CC020000}"/>
    <cellStyle name="C05B" xfId="386" xr:uid="{00000000-0005-0000-0000-0000CD020000}"/>
    <cellStyle name="C05H" xfId="387" xr:uid="{00000000-0005-0000-0000-0000CE020000}"/>
    <cellStyle name="C05H 2" xfId="388" xr:uid="{00000000-0005-0000-0000-0000CF020000}"/>
    <cellStyle name="C05L" xfId="389" xr:uid="{00000000-0005-0000-0000-0000D0020000}"/>
    <cellStyle name="C05L 2" xfId="390" xr:uid="{00000000-0005-0000-0000-0000D1020000}"/>
    <cellStyle name="C06A" xfId="391" xr:uid="{00000000-0005-0000-0000-0000D2020000}"/>
    <cellStyle name="C06B" xfId="392" xr:uid="{00000000-0005-0000-0000-0000D3020000}"/>
    <cellStyle name="C06H" xfId="393" xr:uid="{00000000-0005-0000-0000-0000D4020000}"/>
    <cellStyle name="C06L" xfId="394" xr:uid="{00000000-0005-0000-0000-0000D5020000}"/>
    <cellStyle name="C07A" xfId="395" xr:uid="{00000000-0005-0000-0000-0000D6020000}"/>
    <cellStyle name="C07B" xfId="396" xr:uid="{00000000-0005-0000-0000-0000D7020000}"/>
    <cellStyle name="C07H" xfId="397" xr:uid="{00000000-0005-0000-0000-0000D8020000}"/>
    <cellStyle name="C07L" xfId="398" xr:uid="{00000000-0005-0000-0000-0000D9020000}"/>
    <cellStyle name="Calculation 2" xfId="399" xr:uid="{00000000-0005-0000-0000-0000DA020000}"/>
    <cellStyle name="Calculation 3" xfId="400" xr:uid="{00000000-0005-0000-0000-0000DB020000}"/>
    <cellStyle name="Calculation 4" xfId="595" xr:uid="{00000000-0005-0000-0000-0000DC020000}"/>
    <cellStyle name="Caption" xfId="401" xr:uid="{00000000-0005-0000-0000-0000DD020000}"/>
    <cellStyle name="Check Cell 2" xfId="402" xr:uid="{00000000-0005-0000-0000-0000DE020000}"/>
    <cellStyle name="Check Cell 3" xfId="403" xr:uid="{00000000-0005-0000-0000-0000DF020000}"/>
    <cellStyle name="Check Cell 4" xfId="594" xr:uid="{00000000-0005-0000-0000-0000E0020000}"/>
    <cellStyle name="Comma 10" xfId="404" xr:uid="{00000000-0005-0000-0000-0000E1020000}"/>
    <cellStyle name="Comma 10 2" xfId="405" xr:uid="{00000000-0005-0000-0000-0000E2020000}"/>
    <cellStyle name="Comma 11" xfId="406" xr:uid="{00000000-0005-0000-0000-0000E3020000}"/>
    <cellStyle name="Comma 12" xfId="407" xr:uid="{00000000-0005-0000-0000-0000E4020000}"/>
    <cellStyle name="Comma 13" xfId="408" xr:uid="{00000000-0005-0000-0000-0000E5020000}"/>
    <cellStyle name="Comma 14" xfId="409" xr:uid="{00000000-0005-0000-0000-0000E6020000}"/>
    <cellStyle name="Comma 15" xfId="575" xr:uid="{00000000-0005-0000-0000-0000E7020000}"/>
    <cellStyle name="Comma 2" xfId="10" xr:uid="{00000000-0005-0000-0000-0000E8020000}"/>
    <cellStyle name="Comma 2 2" xfId="410" xr:uid="{00000000-0005-0000-0000-0000E9020000}"/>
    <cellStyle name="Comma 2 3" xfId="411" xr:uid="{00000000-0005-0000-0000-0000EA020000}"/>
    <cellStyle name="Comma 3" xfId="412" xr:uid="{00000000-0005-0000-0000-0000EB020000}"/>
    <cellStyle name="Comma 3 2" xfId="413" xr:uid="{00000000-0005-0000-0000-0000EC020000}"/>
    <cellStyle name="Comma 4" xfId="414" xr:uid="{00000000-0005-0000-0000-0000ED020000}"/>
    <cellStyle name="Comma 5" xfId="415" xr:uid="{00000000-0005-0000-0000-0000EE020000}"/>
    <cellStyle name="Comma 6" xfId="416" xr:uid="{00000000-0005-0000-0000-0000EF020000}"/>
    <cellStyle name="Comma 7" xfId="417" xr:uid="{00000000-0005-0000-0000-0000F0020000}"/>
    <cellStyle name="Comma 8" xfId="418" xr:uid="{00000000-0005-0000-0000-0000F1020000}"/>
    <cellStyle name="Comma 9" xfId="419" xr:uid="{00000000-0005-0000-0000-0000F2020000}"/>
    <cellStyle name="Currency 2" xfId="420" xr:uid="{00000000-0005-0000-0000-0000F3020000}"/>
    <cellStyle name="Currency 3" xfId="421" xr:uid="{00000000-0005-0000-0000-0000F4020000}"/>
    <cellStyle name="DataEntry" xfId="422" xr:uid="{00000000-0005-0000-0000-0000F5020000}"/>
    <cellStyle name="Emphasis 1" xfId="423" xr:uid="{00000000-0005-0000-0000-0000F6020000}"/>
    <cellStyle name="Emphasis 2" xfId="424" xr:uid="{00000000-0005-0000-0000-0000F7020000}"/>
    <cellStyle name="Emphasis 3" xfId="425" xr:uid="{00000000-0005-0000-0000-0000F8020000}"/>
    <cellStyle name="Error" xfId="426" xr:uid="{00000000-0005-0000-0000-0000F9020000}"/>
    <cellStyle name="ErrorMess" xfId="427" xr:uid="{00000000-0005-0000-0000-0000FA020000}"/>
    <cellStyle name="Euro" xfId="428" xr:uid="{00000000-0005-0000-0000-0000FB020000}"/>
    <cellStyle name="Explanatory Text 2" xfId="429" xr:uid="{00000000-0005-0000-0000-0000FC020000}"/>
    <cellStyle name="Explanatory Text 3" xfId="430" xr:uid="{00000000-0005-0000-0000-0000FD020000}"/>
    <cellStyle name="Explanatory Text 4" xfId="593" xr:uid="{00000000-0005-0000-0000-0000FE020000}"/>
    <cellStyle name="Good 2" xfId="431" xr:uid="{00000000-0005-0000-0000-0000FF020000}"/>
    <cellStyle name="Good 3" xfId="432" xr:uid="{00000000-0005-0000-0000-000000030000}"/>
    <cellStyle name="Good 4" xfId="592" xr:uid="{00000000-0005-0000-0000-000001030000}"/>
    <cellStyle name="Heading 1 2" xfId="433" xr:uid="{00000000-0005-0000-0000-000002030000}"/>
    <cellStyle name="Heading 1 3" xfId="434" xr:uid="{00000000-0005-0000-0000-000003030000}"/>
    <cellStyle name="Heading 1 4" xfId="591" xr:uid="{00000000-0005-0000-0000-000004030000}"/>
    <cellStyle name="Heading 2 2" xfId="435" xr:uid="{00000000-0005-0000-0000-000005030000}"/>
    <cellStyle name="Heading 2 3" xfId="436" xr:uid="{00000000-0005-0000-0000-000006030000}"/>
    <cellStyle name="Heading 2 4" xfId="590" xr:uid="{00000000-0005-0000-0000-000007030000}"/>
    <cellStyle name="Heading 3 2" xfId="437" xr:uid="{00000000-0005-0000-0000-000008030000}"/>
    <cellStyle name="Heading 3 3" xfId="438" xr:uid="{00000000-0005-0000-0000-000009030000}"/>
    <cellStyle name="Heading 3 4" xfId="589" xr:uid="{00000000-0005-0000-0000-00000A030000}"/>
    <cellStyle name="Heading 4 2" xfId="439" xr:uid="{00000000-0005-0000-0000-00000B030000}"/>
    <cellStyle name="Heading 4 3" xfId="440" xr:uid="{00000000-0005-0000-0000-00000C030000}"/>
    <cellStyle name="Heading 4 4" xfId="588" xr:uid="{00000000-0005-0000-0000-00000D030000}"/>
    <cellStyle name="Hyperlink 2" xfId="441" xr:uid="{00000000-0005-0000-0000-00000E030000}"/>
    <cellStyle name="Hyperlink 3" xfId="442" xr:uid="{00000000-0005-0000-0000-00000F030000}"/>
    <cellStyle name="Input 2" xfId="443" xr:uid="{00000000-0005-0000-0000-000010030000}"/>
    <cellStyle name="Input 3" xfId="444" xr:uid="{00000000-0005-0000-0000-000011030000}"/>
    <cellStyle name="Input 4" xfId="587" xr:uid="{00000000-0005-0000-0000-000012030000}"/>
    <cellStyle name="Janice1" xfId="445" xr:uid="{00000000-0005-0000-0000-000013030000}"/>
    <cellStyle name="KPMG Heading 1" xfId="446" xr:uid="{00000000-0005-0000-0000-000014030000}"/>
    <cellStyle name="KPMG Heading 2" xfId="447" xr:uid="{00000000-0005-0000-0000-000015030000}"/>
    <cellStyle name="KPMG Heading 3" xfId="448" xr:uid="{00000000-0005-0000-0000-000016030000}"/>
    <cellStyle name="KPMG Heading 4" xfId="449" xr:uid="{00000000-0005-0000-0000-000017030000}"/>
    <cellStyle name="KPMG Normal" xfId="450" xr:uid="{00000000-0005-0000-0000-000018030000}"/>
    <cellStyle name="KPMG Normal Text" xfId="451" xr:uid="{00000000-0005-0000-0000-000019030000}"/>
    <cellStyle name="Linked Cell 2" xfId="452" xr:uid="{00000000-0005-0000-0000-00001A030000}"/>
    <cellStyle name="Linked Cell 3" xfId="453" xr:uid="{00000000-0005-0000-0000-00001B030000}"/>
    <cellStyle name="Linked Cell 4" xfId="586" xr:uid="{00000000-0005-0000-0000-00001C030000}"/>
    <cellStyle name="MC" xfId="454" xr:uid="{00000000-0005-0000-0000-00001D030000}"/>
    <cellStyle name="Neutral 2" xfId="455" xr:uid="{00000000-0005-0000-0000-00001E030000}"/>
    <cellStyle name="Neutral 3" xfId="456" xr:uid="{00000000-0005-0000-0000-00001F030000}"/>
    <cellStyle name="Neutral 4" xfId="585" xr:uid="{00000000-0005-0000-0000-000020030000}"/>
    <cellStyle name="NJS" xfId="1" xr:uid="{00000000-0005-0000-0000-000021030000}"/>
    <cellStyle name="Normal" xfId="0" builtinId="0"/>
    <cellStyle name="Normal - Style1" xfId="457" xr:uid="{00000000-0005-0000-0000-000023030000}"/>
    <cellStyle name="Normal 10" xfId="458" xr:uid="{00000000-0005-0000-0000-000024030000}"/>
    <cellStyle name="Normal 11" xfId="459" xr:uid="{00000000-0005-0000-0000-000025030000}"/>
    <cellStyle name="Normal 12" xfId="460" xr:uid="{00000000-0005-0000-0000-000026030000}"/>
    <cellStyle name="Normal 13" xfId="461" xr:uid="{00000000-0005-0000-0000-000027030000}"/>
    <cellStyle name="Normal 14" xfId="462" xr:uid="{00000000-0005-0000-0000-000028030000}"/>
    <cellStyle name="Normal 15" xfId="463" xr:uid="{00000000-0005-0000-0000-000029030000}"/>
    <cellStyle name="Normal 16" xfId="464" xr:uid="{00000000-0005-0000-0000-00002A030000}"/>
    <cellStyle name="Normal 17" xfId="465" xr:uid="{00000000-0005-0000-0000-00002B030000}"/>
    <cellStyle name="Normal 18" xfId="466" xr:uid="{00000000-0005-0000-0000-00002C030000}"/>
    <cellStyle name="Normal 19" xfId="467" xr:uid="{00000000-0005-0000-0000-00002D030000}"/>
    <cellStyle name="Normal 2" xfId="2" xr:uid="{00000000-0005-0000-0000-00002E030000}"/>
    <cellStyle name="Normal 2 2" xfId="468" xr:uid="{00000000-0005-0000-0000-00002F030000}"/>
    <cellStyle name="Normal 2 3" xfId="469" xr:uid="{00000000-0005-0000-0000-000030030000}"/>
    <cellStyle name="Normal 2 4" xfId="470" xr:uid="{00000000-0005-0000-0000-000031030000}"/>
    <cellStyle name="Normal 2 5" xfId="471" xr:uid="{00000000-0005-0000-0000-000032030000}"/>
    <cellStyle name="Normal 2_AC15" xfId="472" xr:uid="{00000000-0005-0000-0000-000033030000}"/>
    <cellStyle name="Normal 20" xfId="473" xr:uid="{00000000-0005-0000-0000-000034030000}"/>
    <cellStyle name="Normal 21" xfId="474" xr:uid="{00000000-0005-0000-0000-000035030000}"/>
    <cellStyle name="Normal 22" xfId="475" xr:uid="{00000000-0005-0000-0000-000036030000}"/>
    <cellStyle name="Normal 23" xfId="476" xr:uid="{00000000-0005-0000-0000-000037030000}"/>
    <cellStyle name="Normal 24" xfId="477" xr:uid="{00000000-0005-0000-0000-000038030000}"/>
    <cellStyle name="Normal 25" xfId="478" xr:uid="{00000000-0005-0000-0000-000039030000}"/>
    <cellStyle name="Normal 26" xfId="479" xr:uid="{00000000-0005-0000-0000-00003A030000}"/>
    <cellStyle name="Normal 27" xfId="480" xr:uid="{00000000-0005-0000-0000-00003B030000}"/>
    <cellStyle name="Normal 28" xfId="502" xr:uid="{00000000-0005-0000-0000-00003C030000}"/>
    <cellStyle name="Normal 29" xfId="627" xr:uid="{00000000-0005-0000-0000-00003D030000}"/>
    <cellStyle name="Normal 3" xfId="11" xr:uid="{00000000-0005-0000-0000-00003E030000}"/>
    <cellStyle name="Normal 3 2" xfId="482" xr:uid="{00000000-0005-0000-0000-00003F030000}"/>
    <cellStyle name="Normal 3 2 2" xfId="483" xr:uid="{00000000-0005-0000-0000-000040030000}"/>
    <cellStyle name="Normal 3 2_Fleet Hires P1" xfId="484" xr:uid="{00000000-0005-0000-0000-000041030000}"/>
    <cellStyle name="Normal 3 3" xfId="481" xr:uid="{00000000-0005-0000-0000-000042030000}"/>
    <cellStyle name="Normal 3 4" xfId="618" xr:uid="{00000000-0005-0000-0000-000043030000}"/>
    <cellStyle name="Normal 3_Fleet Hires P9" xfId="485" xr:uid="{00000000-0005-0000-0000-000044030000}"/>
    <cellStyle name="Normal 30" xfId="619" xr:uid="{00000000-0005-0000-0000-000045030000}"/>
    <cellStyle name="Normal 31" xfId="616" xr:uid="{00000000-0005-0000-0000-000046030000}"/>
    <cellStyle name="Normal 32" xfId="615" xr:uid="{00000000-0005-0000-0000-000047030000}"/>
    <cellStyle name="Normal 33" xfId="614" xr:uid="{00000000-0005-0000-0000-000048030000}"/>
    <cellStyle name="Normal 34" xfId="578" xr:uid="{00000000-0005-0000-0000-000049030000}"/>
    <cellStyle name="Normal 35" xfId="679" xr:uid="{00000000-0005-0000-0000-00004A030000}"/>
    <cellStyle name="Normal 36" xfId="686" xr:uid="{00000000-0005-0000-0000-00004B030000}"/>
    <cellStyle name="Normal 37" xfId="693" xr:uid="{00000000-0005-0000-0000-00004C030000}"/>
    <cellStyle name="Normal 38" xfId="700" xr:uid="{00000000-0005-0000-0000-00004D030000}"/>
    <cellStyle name="Normal 39" xfId="707" xr:uid="{00000000-0005-0000-0000-00004E030000}"/>
    <cellStyle name="Normal 4" xfId="12" xr:uid="{00000000-0005-0000-0000-00004F030000}"/>
    <cellStyle name="Normal 4 2" xfId="487" xr:uid="{00000000-0005-0000-0000-000050030000}"/>
    <cellStyle name="Normal 4 3" xfId="486" xr:uid="{00000000-0005-0000-0000-000051030000}"/>
    <cellStyle name="Normal 4_Note 8 &amp; 15 12-13" xfId="488" xr:uid="{00000000-0005-0000-0000-000052030000}"/>
    <cellStyle name="Normal 40" xfId="714" xr:uid="{00000000-0005-0000-0000-000053030000}"/>
    <cellStyle name="Normal 41" xfId="721" xr:uid="{00000000-0005-0000-0000-000054030000}"/>
    <cellStyle name="Normal 42" xfId="728" xr:uid="{00000000-0005-0000-0000-000055030000}"/>
    <cellStyle name="Normal 43" xfId="735" xr:uid="{00000000-0005-0000-0000-000056030000}"/>
    <cellStyle name="Normal 44" xfId="742" xr:uid="{00000000-0005-0000-0000-000057030000}"/>
    <cellStyle name="Normal 45" xfId="749" xr:uid="{00000000-0005-0000-0000-000058030000}"/>
    <cellStyle name="Normal 46" xfId="755" xr:uid="{00000000-0005-0000-0000-000059030000}"/>
    <cellStyle name="Normal 47" xfId="763" xr:uid="{00000000-0005-0000-0000-00005A030000}"/>
    <cellStyle name="Normal 48" xfId="770" xr:uid="{00000000-0005-0000-0000-00005B030000}"/>
    <cellStyle name="Normal 49" xfId="777" xr:uid="{00000000-0005-0000-0000-00005C030000}"/>
    <cellStyle name="Normal 5" xfId="489" xr:uid="{00000000-0005-0000-0000-00005D030000}"/>
    <cellStyle name="Normal 5 2" xfId="490" xr:uid="{00000000-0005-0000-0000-00005E030000}"/>
    <cellStyle name="Normal 50" xfId="784" xr:uid="{00000000-0005-0000-0000-00005F030000}"/>
    <cellStyle name="Normal 51" xfId="791" xr:uid="{00000000-0005-0000-0000-000060030000}"/>
    <cellStyle name="Normal 52" xfId="798" xr:uid="{00000000-0005-0000-0000-000061030000}"/>
    <cellStyle name="Normal 53" xfId="802" xr:uid="{00000000-0005-0000-0000-000062030000}"/>
    <cellStyle name="Normal 54" xfId="806" xr:uid="{00000000-0005-0000-0000-000063030000}"/>
    <cellStyle name="Normal 55" xfId="807" xr:uid="{00000000-0005-0000-0000-000064030000}"/>
    <cellStyle name="Normal 56" xfId="808" xr:uid="{00000000-0005-0000-0000-000065030000}"/>
    <cellStyle name="Normal 57" xfId="809" xr:uid="{00000000-0005-0000-0000-000066030000}"/>
    <cellStyle name="Normal 58" xfId="810" xr:uid="{00000000-0005-0000-0000-000067030000}"/>
    <cellStyle name="Normal 59" xfId="811" xr:uid="{00000000-0005-0000-0000-000068030000}"/>
    <cellStyle name="Normal 6" xfId="491" xr:uid="{00000000-0005-0000-0000-000069030000}"/>
    <cellStyle name="Normal 60" xfId="812" xr:uid="{00000000-0005-0000-0000-00006A030000}"/>
    <cellStyle name="Normal 61" xfId="813" xr:uid="{00000000-0005-0000-0000-00006B030000}"/>
    <cellStyle name="Normal 62" xfId="858" xr:uid="{00000000-0005-0000-0000-00006C030000}"/>
    <cellStyle name="Normal 63" xfId="875" xr:uid="{00000000-0005-0000-0000-00006D030000}"/>
    <cellStyle name="Normal 64" xfId="882" xr:uid="{00000000-0005-0000-0000-00006E030000}"/>
    <cellStyle name="Normal 65" xfId="889" xr:uid="{00000000-0005-0000-0000-00006F030000}"/>
    <cellStyle name="Normal 66" xfId="896" xr:uid="{00000000-0005-0000-0000-000070030000}"/>
    <cellStyle name="Normal 67" xfId="903" xr:uid="{00000000-0005-0000-0000-000071030000}"/>
    <cellStyle name="Normal 68" xfId="910" xr:uid="{00000000-0005-0000-0000-000072030000}"/>
    <cellStyle name="Normal 69" xfId="917" xr:uid="{00000000-0005-0000-0000-000073030000}"/>
    <cellStyle name="Normal 7" xfId="492" xr:uid="{00000000-0005-0000-0000-000074030000}"/>
    <cellStyle name="Normal 70" xfId="924" xr:uid="{00000000-0005-0000-0000-000075030000}"/>
    <cellStyle name="Normal 71" xfId="931" xr:uid="{00000000-0005-0000-0000-000076030000}"/>
    <cellStyle name="Normal 72" xfId="938" xr:uid="{00000000-0005-0000-0000-000077030000}"/>
    <cellStyle name="Normal 73" xfId="945" xr:uid="{00000000-0005-0000-0000-000078030000}"/>
    <cellStyle name="Normal 74" xfId="952" xr:uid="{00000000-0005-0000-0000-000079030000}"/>
    <cellStyle name="Normal 75" xfId="959" xr:uid="{00000000-0005-0000-0000-00007A030000}"/>
    <cellStyle name="Normal 76" xfId="966" xr:uid="{00000000-0005-0000-0000-00007B030000}"/>
    <cellStyle name="Normal 77" xfId="973" xr:uid="{00000000-0005-0000-0000-00007C030000}"/>
    <cellStyle name="Normal 78" xfId="977" xr:uid="{00000000-0005-0000-0000-00007D030000}"/>
    <cellStyle name="Normal 79" xfId="981" xr:uid="{00000000-0005-0000-0000-00007E030000}"/>
    <cellStyle name="Normal 8" xfId="493" xr:uid="{00000000-0005-0000-0000-00007F030000}"/>
    <cellStyle name="Normal 80" xfId="982" xr:uid="{00000000-0005-0000-0000-000080030000}"/>
    <cellStyle name="Normal 81" xfId="983" xr:uid="{00000000-0005-0000-0000-000081030000}"/>
    <cellStyle name="Normal 82" xfId="984" xr:uid="{00000000-0005-0000-0000-000082030000}"/>
    <cellStyle name="Normal 83" xfId="985" xr:uid="{00000000-0005-0000-0000-000083030000}"/>
    <cellStyle name="Normal 84" xfId="986" xr:uid="{00000000-0005-0000-0000-000084030000}"/>
    <cellStyle name="Normal 85" xfId="987" xr:uid="{00000000-0005-0000-0000-000085030000}"/>
    <cellStyle name="Normal 86" xfId="988" xr:uid="{00000000-0005-0000-0000-000086030000}"/>
    <cellStyle name="Normal 87" xfId="989" xr:uid="{00000000-0005-0000-0000-000087030000}"/>
    <cellStyle name="Normal 9" xfId="494" xr:uid="{00000000-0005-0000-0000-000088030000}"/>
    <cellStyle name="Normal with brackets" xfId="495" xr:uid="{00000000-0005-0000-0000-000089030000}"/>
    <cellStyle name="Normal_JR07_TablesIssue1.0" xfId="3" xr:uid="{00000000-0005-0000-0000-00008A030000}"/>
    <cellStyle name="Normal_M tables05-06 V1.5" xfId="4" xr:uid="{00000000-0005-0000-0000-00008B030000}"/>
    <cellStyle name="Normal_Regulatory Accounts - M tables 2006-07" xfId="5" xr:uid="{00000000-0005-0000-0000-00008C030000}"/>
    <cellStyle name="Normal_SCF 01-4-10 TO 30-9-11_SCF 15_16" xfId="622" xr:uid="{00000000-0005-0000-0000-00008D030000}"/>
    <cellStyle name="Note 2" xfId="496" xr:uid="{00000000-0005-0000-0000-00008E030000}"/>
    <cellStyle name="Note 3" xfId="497" xr:uid="{00000000-0005-0000-0000-00008F030000}"/>
    <cellStyle name="Note 4" xfId="498" xr:uid="{00000000-0005-0000-0000-000090030000}"/>
    <cellStyle name="Note 5" xfId="581" xr:uid="{00000000-0005-0000-0000-000091030000}"/>
    <cellStyle name="NPLODE" xfId="499" xr:uid="{00000000-0005-0000-0000-000092030000}"/>
    <cellStyle name="Output 2" xfId="500" xr:uid="{00000000-0005-0000-0000-000093030000}"/>
    <cellStyle name="Output 3" xfId="501" xr:uid="{00000000-0005-0000-0000-000094030000}"/>
    <cellStyle name="Output 4" xfId="580" xr:uid="{00000000-0005-0000-0000-000095030000}"/>
    <cellStyle name="Percent" xfId="6" builtinId="5"/>
    <cellStyle name="Percent 2" xfId="9" xr:uid="{00000000-0005-0000-0000-000097030000}"/>
    <cellStyle name="Percent 2 2" xfId="503" xr:uid="{00000000-0005-0000-0000-000098030000}"/>
    <cellStyle name="Percent 3" xfId="8" xr:uid="{00000000-0005-0000-0000-000099030000}"/>
    <cellStyle name="Percent 3 2" xfId="505" xr:uid="{00000000-0005-0000-0000-00009A030000}"/>
    <cellStyle name="Percent 3 3" xfId="504" xr:uid="{00000000-0005-0000-0000-00009B030000}"/>
    <cellStyle name="Percent 4" xfId="506" xr:uid="{00000000-0005-0000-0000-00009C030000}"/>
    <cellStyle name="Percent 5" xfId="579" xr:uid="{00000000-0005-0000-0000-00009D030000}"/>
    <cellStyle name="Posted" xfId="507" xr:uid="{00000000-0005-0000-0000-00009E030000}"/>
    <cellStyle name="PriorYear" xfId="508" xr:uid="{00000000-0005-0000-0000-00009F030000}"/>
    <cellStyle name="PSChar" xfId="509" xr:uid="{00000000-0005-0000-0000-0000A0030000}"/>
    <cellStyle name="PSDate" xfId="510" xr:uid="{00000000-0005-0000-0000-0000A1030000}"/>
    <cellStyle name="PSDec" xfId="511" xr:uid="{00000000-0005-0000-0000-0000A2030000}"/>
    <cellStyle name="PSHeading" xfId="512" xr:uid="{00000000-0005-0000-0000-0000A3030000}"/>
    <cellStyle name="PSInt" xfId="513" xr:uid="{00000000-0005-0000-0000-0000A4030000}"/>
    <cellStyle name="PSSpacer" xfId="514" xr:uid="{00000000-0005-0000-0000-0000A5030000}"/>
    <cellStyle name="R00A" xfId="515" xr:uid="{00000000-0005-0000-0000-0000A6030000}"/>
    <cellStyle name="R00A 2" xfId="516" xr:uid="{00000000-0005-0000-0000-0000A7030000}"/>
    <cellStyle name="R00B" xfId="517" xr:uid="{00000000-0005-0000-0000-0000A8030000}"/>
    <cellStyle name="R00L" xfId="518" xr:uid="{00000000-0005-0000-0000-0000A9030000}"/>
    <cellStyle name="R01A" xfId="519" xr:uid="{00000000-0005-0000-0000-0000AA030000}"/>
    <cellStyle name="R01B" xfId="520" xr:uid="{00000000-0005-0000-0000-0000AB030000}"/>
    <cellStyle name="R01H" xfId="521" xr:uid="{00000000-0005-0000-0000-0000AC030000}"/>
    <cellStyle name="R01L" xfId="522" xr:uid="{00000000-0005-0000-0000-0000AD030000}"/>
    <cellStyle name="R02A" xfId="523" xr:uid="{00000000-0005-0000-0000-0000AE030000}"/>
    <cellStyle name="R02B" xfId="524" xr:uid="{00000000-0005-0000-0000-0000AF030000}"/>
    <cellStyle name="R02H" xfId="525" xr:uid="{00000000-0005-0000-0000-0000B0030000}"/>
    <cellStyle name="R02L" xfId="526" xr:uid="{00000000-0005-0000-0000-0000B1030000}"/>
    <cellStyle name="R03A" xfId="527" xr:uid="{00000000-0005-0000-0000-0000B2030000}"/>
    <cellStyle name="R03A 2" xfId="528" xr:uid="{00000000-0005-0000-0000-0000B3030000}"/>
    <cellStyle name="R03B" xfId="529" xr:uid="{00000000-0005-0000-0000-0000B4030000}"/>
    <cellStyle name="R03B 2" xfId="530" xr:uid="{00000000-0005-0000-0000-0000B5030000}"/>
    <cellStyle name="R03H" xfId="531" xr:uid="{00000000-0005-0000-0000-0000B6030000}"/>
    <cellStyle name="R03L" xfId="532" xr:uid="{00000000-0005-0000-0000-0000B7030000}"/>
    <cellStyle name="R04A" xfId="533" xr:uid="{00000000-0005-0000-0000-0000B8030000}"/>
    <cellStyle name="R04A 2" xfId="534" xr:uid="{00000000-0005-0000-0000-0000B9030000}"/>
    <cellStyle name="R04B" xfId="535" xr:uid="{00000000-0005-0000-0000-0000BA030000}"/>
    <cellStyle name="R04B 2" xfId="536" xr:uid="{00000000-0005-0000-0000-0000BB030000}"/>
    <cellStyle name="R04H" xfId="537" xr:uid="{00000000-0005-0000-0000-0000BC030000}"/>
    <cellStyle name="R04L" xfId="538" xr:uid="{00000000-0005-0000-0000-0000BD030000}"/>
    <cellStyle name="R05A" xfId="539" xr:uid="{00000000-0005-0000-0000-0000BE030000}"/>
    <cellStyle name="R05B" xfId="540" xr:uid="{00000000-0005-0000-0000-0000BF030000}"/>
    <cellStyle name="R05H" xfId="541" xr:uid="{00000000-0005-0000-0000-0000C0030000}"/>
    <cellStyle name="R05H 2" xfId="542" xr:uid="{00000000-0005-0000-0000-0000C1030000}"/>
    <cellStyle name="R05L" xfId="543" xr:uid="{00000000-0005-0000-0000-0000C2030000}"/>
    <cellStyle name="R05L 2" xfId="544" xr:uid="{00000000-0005-0000-0000-0000C3030000}"/>
    <cellStyle name="R06A" xfId="545" xr:uid="{00000000-0005-0000-0000-0000C4030000}"/>
    <cellStyle name="R06B" xfId="546" xr:uid="{00000000-0005-0000-0000-0000C5030000}"/>
    <cellStyle name="R06H" xfId="547" xr:uid="{00000000-0005-0000-0000-0000C6030000}"/>
    <cellStyle name="R06L" xfId="548" xr:uid="{00000000-0005-0000-0000-0000C7030000}"/>
    <cellStyle name="R07A" xfId="549" xr:uid="{00000000-0005-0000-0000-0000C8030000}"/>
    <cellStyle name="R07B" xfId="550" xr:uid="{00000000-0005-0000-0000-0000C9030000}"/>
    <cellStyle name="R07H" xfId="551" xr:uid="{00000000-0005-0000-0000-0000CA030000}"/>
    <cellStyle name="R07L" xfId="552" xr:uid="{00000000-0005-0000-0000-0000CB030000}"/>
    <cellStyle name="SAPBEXstdItem" xfId="553" xr:uid="{00000000-0005-0000-0000-0000CC030000}"/>
    <cellStyle name="Sheet Title" xfId="554" xr:uid="{00000000-0005-0000-0000-0000CD030000}"/>
    <cellStyle name="stlData" xfId="555" xr:uid="{00000000-0005-0000-0000-0000CE030000}"/>
    <cellStyle name="stlDataTotals" xfId="556" xr:uid="{00000000-0005-0000-0000-0000CF030000}"/>
    <cellStyle name="stlFooter" xfId="557" xr:uid="{00000000-0005-0000-0000-0000D0030000}"/>
    <cellStyle name="stlHeader" xfId="558" xr:uid="{00000000-0005-0000-0000-0000D1030000}"/>
    <cellStyle name="stlMainTitle" xfId="559" xr:uid="{00000000-0005-0000-0000-0000D2030000}"/>
    <cellStyle name="stlNormal" xfId="560" xr:uid="{00000000-0005-0000-0000-0000D3030000}"/>
    <cellStyle name="stlNumber" xfId="561" xr:uid="{00000000-0005-0000-0000-0000D4030000}"/>
    <cellStyle name="stlPageTitle" xfId="562" xr:uid="{00000000-0005-0000-0000-0000D5030000}"/>
    <cellStyle name="stlSubtotal" xfId="563" xr:uid="{00000000-0005-0000-0000-0000D6030000}"/>
    <cellStyle name="stlTableTitle" xfId="564" xr:uid="{00000000-0005-0000-0000-0000D7030000}"/>
    <cellStyle name="stlTemplate" xfId="565" xr:uid="{00000000-0005-0000-0000-0000D8030000}"/>
    <cellStyle name="stlTextBox" xfId="566" xr:uid="{00000000-0005-0000-0000-0000D9030000}"/>
    <cellStyle name="Style 1" xfId="567" xr:uid="{00000000-0005-0000-0000-0000DA030000}"/>
    <cellStyle name="Title 2" xfId="568" xr:uid="{00000000-0005-0000-0000-0000DB030000}"/>
    <cellStyle name="Title 3" xfId="569" xr:uid="{00000000-0005-0000-0000-0000DC030000}"/>
    <cellStyle name="Total 2" xfId="570" xr:uid="{00000000-0005-0000-0000-0000DD030000}"/>
    <cellStyle name="Total 3" xfId="571" xr:uid="{00000000-0005-0000-0000-0000DE030000}"/>
    <cellStyle name="Total 4" xfId="577" xr:uid="{00000000-0005-0000-0000-0000DF030000}"/>
    <cellStyle name="Upload" xfId="572" xr:uid="{00000000-0005-0000-0000-0000E0030000}"/>
    <cellStyle name="Warning Text 2" xfId="573" xr:uid="{00000000-0005-0000-0000-0000E1030000}"/>
    <cellStyle name="Warning Text 3" xfId="574" xr:uid="{00000000-0005-0000-0000-0000E2030000}"/>
    <cellStyle name="Warning Text 4" xfId="576" xr:uid="{00000000-0005-0000-0000-0000E303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400050</xdr:colOff>
      <xdr:row>0</xdr:row>
      <xdr:rowOff>123825</xdr:rowOff>
    </xdr:from>
    <xdr:to>
      <xdr:col>10</xdr:col>
      <xdr:colOff>514350</xdr:colOff>
      <xdr:row>2</xdr:row>
      <xdr:rowOff>152400</xdr:rowOff>
    </xdr:to>
    <xdr:pic>
      <xdr:nvPicPr>
        <xdr:cNvPr id="1186" name="Picture 1" descr="100856 - Logotest">
          <a:extLst>
            <a:ext uri="{FF2B5EF4-FFF2-40B4-BE49-F238E27FC236}">
              <a16:creationId xmlns:a16="http://schemas.microsoft.com/office/drawing/2014/main" id="{00000000-0008-0000-0100-0000A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23825"/>
          <a:ext cx="19716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114300</xdr:colOff>
      <xdr:row>1</xdr:row>
      <xdr:rowOff>47625</xdr:rowOff>
    </xdr:from>
    <xdr:to>
      <xdr:col>23</xdr:col>
      <xdr:colOff>419100</xdr:colOff>
      <xdr:row>3</xdr:row>
      <xdr:rowOff>171450</xdr:rowOff>
    </xdr:to>
    <xdr:pic>
      <xdr:nvPicPr>
        <xdr:cNvPr id="30877" name="Picture 3" descr="100856 - Logotest">
          <a:extLst>
            <a:ext uri="{FF2B5EF4-FFF2-40B4-BE49-F238E27FC236}">
              <a16:creationId xmlns:a16="http://schemas.microsoft.com/office/drawing/2014/main" id="{00000000-0008-0000-0B00-00009D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92650" y="47625"/>
          <a:ext cx="28194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819150</xdr:colOff>
      <xdr:row>0</xdr:row>
      <xdr:rowOff>85725</xdr:rowOff>
    </xdr:from>
    <xdr:to>
      <xdr:col>8</xdr:col>
      <xdr:colOff>0</xdr:colOff>
      <xdr:row>2</xdr:row>
      <xdr:rowOff>161925</xdr:rowOff>
    </xdr:to>
    <xdr:pic>
      <xdr:nvPicPr>
        <xdr:cNvPr id="36989" name="Picture 1" descr="100856 - Logotest">
          <a:extLst>
            <a:ext uri="{FF2B5EF4-FFF2-40B4-BE49-F238E27FC236}">
              <a16:creationId xmlns:a16="http://schemas.microsoft.com/office/drawing/2014/main" id="{00000000-0008-0000-0C00-00007D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5725"/>
          <a:ext cx="24384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542925</xdr:colOff>
      <xdr:row>0</xdr:row>
      <xdr:rowOff>66675</xdr:rowOff>
    </xdr:from>
    <xdr:to>
      <xdr:col>13</xdr:col>
      <xdr:colOff>885825</xdr:colOff>
      <xdr:row>2</xdr:row>
      <xdr:rowOff>123825</xdr:rowOff>
    </xdr:to>
    <xdr:pic>
      <xdr:nvPicPr>
        <xdr:cNvPr id="18592" name="Picture 1" descr="100856 - Logotest">
          <a:extLst>
            <a:ext uri="{FF2B5EF4-FFF2-40B4-BE49-F238E27FC236}">
              <a16:creationId xmlns:a16="http://schemas.microsoft.com/office/drawing/2014/main" id="{00000000-0008-0000-0D00-0000A0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68275" y="66675"/>
          <a:ext cx="23050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647700</xdr:colOff>
      <xdr:row>0</xdr:row>
      <xdr:rowOff>133350</xdr:rowOff>
    </xdr:from>
    <xdr:to>
      <xdr:col>6</xdr:col>
      <xdr:colOff>666750</xdr:colOff>
      <xdr:row>2</xdr:row>
      <xdr:rowOff>161925</xdr:rowOff>
    </xdr:to>
    <xdr:pic>
      <xdr:nvPicPr>
        <xdr:cNvPr id="2" name="Picture 1" descr="100856 - Logotest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33350"/>
          <a:ext cx="23431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1</xdr:row>
      <xdr:rowOff>1</xdr:rowOff>
    </xdr:from>
    <xdr:to>
      <xdr:col>8</xdr:col>
      <xdr:colOff>0</xdr:colOff>
      <xdr:row>3</xdr:row>
      <xdr:rowOff>0</xdr:rowOff>
    </xdr:to>
    <xdr:pic>
      <xdr:nvPicPr>
        <xdr:cNvPr id="2" name="Picture 1" descr="100856 - Logotest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5" y="161926"/>
          <a:ext cx="1524000" cy="400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790575</xdr:colOff>
      <xdr:row>1</xdr:row>
      <xdr:rowOff>0</xdr:rowOff>
    </xdr:from>
    <xdr:to>
      <xdr:col>10</xdr:col>
      <xdr:colOff>1381124</xdr:colOff>
      <xdr:row>3</xdr:row>
      <xdr:rowOff>0</xdr:rowOff>
    </xdr:to>
    <xdr:pic>
      <xdr:nvPicPr>
        <xdr:cNvPr id="2" name="Picture 1" descr="100856 - Logotest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161925"/>
          <a:ext cx="197167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428625</xdr:colOff>
      <xdr:row>0</xdr:row>
      <xdr:rowOff>66675</xdr:rowOff>
    </xdr:from>
    <xdr:to>
      <xdr:col>10</xdr:col>
      <xdr:colOff>552450</xdr:colOff>
      <xdr:row>2</xdr:row>
      <xdr:rowOff>104775</xdr:rowOff>
    </xdr:to>
    <xdr:pic>
      <xdr:nvPicPr>
        <xdr:cNvPr id="2208" name="Picture 1" descr="100856 - Logotest">
          <a:extLst>
            <a:ext uri="{FF2B5EF4-FFF2-40B4-BE49-F238E27FC236}">
              <a16:creationId xmlns:a16="http://schemas.microsoft.com/office/drawing/2014/main" id="{00000000-0008-0000-0200-0000A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66675"/>
          <a:ext cx="19145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2219325</xdr:colOff>
      <xdr:row>0</xdr:row>
      <xdr:rowOff>76200</xdr:rowOff>
    </xdr:from>
    <xdr:to>
      <xdr:col>7</xdr:col>
      <xdr:colOff>4305300</xdr:colOff>
      <xdr:row>2</xdr:row>
      <xdr:rowOff>104775</xdr:rowOff>
    </xdr:to>
    <xdr:pic>
      <xdr:nvPicPr>
        <xdr:cNvPr id="32909" name="Picture 1" descr="100856 - Logotest">
          <a:extLst>
            <a:ext uri="{FF2B5EF4-FFF2-40B4-BE49-F238E27FC236}">
              <a16:creationId xmlns:a16="http://schemas.microsoft.com/office/drawing/2014/main" id="{00000000-0008-0000-0300-00008D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76200"/>
          <a:ext cx="20859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0</xdr:row>
      <xdr:rowOff>114300</xdr:rowOff>
    </xdr:from>
    <xdr:to>
      <xdr:col>6</xdr:col>
      <xdr:colOff>542925</xdr:colOff>
      <xdr:row>2</xdr:row>
      <xdr:rowOff>152400</xdr:rowOff>
    </xdr:to>
    <xdr:pic>
      <xdr:nvPicPr>
        <xdr:cNvPr id="4265" name="Picture 1" descr="100856 - Logotest">
          <a:extLst>
            <a:ext uri="{FF2B5EF4-FFF2-40B4-BE49-F238E27FC236}">
              <a16:creationId xmlns:a16="http://schemas.microsoft.com/office/drawing/2014/main" id="{00000000-0008-0000-0400-0000A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114300"/>
          <a:ext cx="19145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647700</xdr:colOff>
      <xdr:row>0</xdr:row>
      <xdr:rowOff>133350</xdr:rowOff>
    </xdr:from>
    <xdr:to>
      <xdr:col>6</xdr:col>
      <xdr:colOff>666750</xdr:colOff>
      <xdr:row>2</xdr:row>
      <xdr:rowOff>161925</xdr:rowOff>
    </xdr:to>
    <xdr:pic>
      <xdr:nvPicPr>
        <xdr:cNvPr id="5290" name="Picture 1" descr="100856 - Logotest">
          <a:extLst>
            <a:ext uri="{FF2B5EF4-FFF2-40B4-BE49-F238E27FC236}">
              <a16:creationId xmlns:a16="http://schemas.microsoft.com/office/drawing/2014/main" id="{00000000-0008-0000-0500-0000A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133350"/>
          <a:ext cx="2266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1</xdr:row>
      <xdr:rowOff>47625</xdr:rowOff>
    </xdr:from>
    <xdr:to>
      <xdr:col>8</xdr:col>
      <xdr:colOff>0</xdr:colOff>
      <xdr:row>3</xdr:row>
      <xdr:rowOff>114300</xdr:rowOff>
    </xdr:to>
    <xdr:pic>
      <xdr:nvPicPr>
        <xdr:cNvPr id="37946" name="Picture 1" descr="100856 - Logotest">
          <a:extLst>
            <a:ext uri="{FF2B5EF4-FFF2-40B4-BE49-F238E27FC236}">
              <a16:creationId xmlns:a16="http://schemas.microsoft.com/office/drawing/2014/main" id="{00000000-0008-0000-0600-00003A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247650"/>
          <a:ext cx="26670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179917</xdr:colOff>
      <xdr:row>1</xdr:row>
      <xdr:rowOff>0</xdr:rowOff>
    </xdr:from>
    <xdr:to>
      <xdr:col>8</xdr:col>
      <xdr:colOff>0</xdr:colOff>
      <xdr:row>3</xdr:row>
      <xdr:rowOff>66675</xdr:rowOff>
    </xdr:to>
    <xdr:pic>
      <xdr:nvPicPr>
        <xdr:cNvPr id="2" name="Picture 1" descr="100856 - Logotest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7250" y="158750"/>
          <a:ext cx="2662767" cy="468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</xdr:colOff>
      <xdr:row>0</xdr:row>
      <xdr:rowOff>85725</xdr:rowOff>
    </xdr:from>
    <xdr:to>
      <xdr:col>19</xdr:col>
      <xdr:colOff>485775</xdr:colOff>
      <xdr:row>2</xdr:row>
      <xdr:rowOff>161925</xdr:rowOff>
    </xdr:to>
    <xdr:pic>
      <xdr:nvPicPr>
        <xdr:cNvPr id="7340" name="Picture 8" descr="100856 - Logotest">
          <a:extLst>
            <a:ext uri="{FF2B5EF4-FFF2-40B4-BE49-F238E27FC236}">
              <a16:creationId xmlns:a16="http://schemas.microsoft.com/office/drawing/2014/main" id="{00000000-0008-0000-0800-0000AC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1925" y="85725"/>
          <a:ext cx="18383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190500</xdr:colOff>
      <xdr:row>0</xdr:row>
      <xdr:rowOff>104775</xdr:rowOff>
    </xdr:from>
    <xdr:to>
      <xdr:col>25</xdr:col>
      <xdr:colOff>390525</xdr:colOff>
      <xdr:row>2</xdr:row>
      <xdr:rowOff>142875</xdr:rowOff>
    </xdr:to>
    <xdr:pic>
      <xdr:nvPicPr>
        <xdr:cNvPr id="28829" name="Picture 3" descr="100856 - Logotest">
          <a:extLst>
            <a:ext uri="{FF2B5EF4-FFF2-40B4-BE49-F238E27FC236}">
              <a16:creationId xmlns:a16="http://schemas.microsoft.com/office/drawing/2014/main" id="{00000000-0008-0000-0A00-00009D7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45225" y="104775"/>
          <a:ext cx="27813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tercommission.sharepoint.com/Finance/Group%20Finance/Annual%20Return%201920/M%20tables/Section%20M%20Tables%20-%20proposed%20pack%20for%202019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M1"/>
      <sheetName val="M2"/>
      <sheetName val="M4"/>
      <sheetName val="M5"/>
      <sheetName val="M6 revised"/>
      <sheetName val="M6-R"/>
      <sheetName val="M7"/>
      <sheetName val="M11"/>
      <sheetName val="M22"/>
      <sheetName val="M27a"/>
      <sheetName val="M28a"/>
      <sheetName val="report year 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6">
          <cell r="C6" t="str">
            <v>2017-18</v>
          </cell>
        </row>
        <row r="7">
          <cell r="C7" t="str">
            <v>2018-19</v>
          </cell>
        </row>
        <row r="8">
          <cell r="C8" t="str">
            <v>2019-20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H19"/>
  <sheetViews>
    <sheetView topLeftCell="A4" zoomScaleNormal="100" zoomScaleSheetLayoutView="100" workbookViewId="0">
      <selection activeCell="C18" sqref="C18"/>
    </sheetView>
  </sheetViews>
  <sheetFormatPr defaultColWidth="8.81640625" defaultRowHeight="12.5"/>
  <cols>
    <col min="1" max="1" width="3.7265625" customWidth="1"/>
    <col min="2" max="2" width="14.7265625" bestFit="1" customWidth="1"/>
    <col min="3" max="3" width="58" bestFit="1" customWidth="1"/>
    <col min="4" max="4" width="16.26953125" bestFit="1" customWidth="1"/>
    <col min="5" max="5" width="11.7265625" bestFit="1" customWidth="1"/>
    <col min="6" max="6" width="16" bestFit="1" customWidth="1"/>
    <col min="7" max="7" width="23.26953125" bestFit="1" customWidth="1"/>
    <col min="8" max="8" width="10.453125" bestFit="1" customWidth="1"/>
  </cols>
  <sheetData>
    <row r="2" spans="2:8" ht="18">
      <c r="B2" s="70" t="s">
        <v>0</v>
      </c>
    </row>
    <row r="4" spans="2:8">
      <c r="B4" s="118" t="s">
        <v>1</v>
      </c>
      <c r="C4" s="72" t="s">
        <v>2</v>
      </c>
      <c r="D4" s="71" t="s">
        <v>3</v>
      </c>
      <c r="E4" s="118" t="s">
        <v>4</v>
      </c>
      <c r="F4" s="118" t="s">
        <v>5</v>
      </c>
      <c r="G4" s="118" t="s">
        <v>6</v>
      </c>
      <c r="H4" s="118" t="s">
        <v>7</v>
      </c>
    </row>
    <row r="5" spans="2:8">
      <c r="B5" s="65">
        <v>1</v>
      </c>
      <c r="C5" s="64" t="s">
        <v>8</v>
      </c>
      <c r="D5" s="65" t="s">
        <v>9</v>
      </c>
      <c r="E5" s="119" t="s">
        <v>10</v>
      </c>
      <c r="F5" s="65" t="s">
        <v>11</v>
      </c>
      <c r="G5" s="119" t="s">
        <v>12</v>
      </c>
      <c r="H5" s="119" t="s">
        <v>13</v>
      </c>
    </row>
    <row r="6" spans="2:8">
      <c r="B6" s="65">
        <v>2</v>
      </c>
      <c r="C6" s="64" t="s">
        <v>14</v>
      </c>
      <c r="D6" s="65" t="s">
        <v>15</v>
      </c>
      <c r="E6" s="119" t="s">
        <v>16</v>
      </c>
      <c r="F6" s="65" t="s">
        <v>17</v>
      </c>
      <c r="G6" s="119" t="s">
        <v>12</v>
      </c>
      <c r="H6" s="119" t="s">
        <v>13</v>
      </c>
    </row>
    <row r="7" spans="2:8">
      <c r="B7" s="65">
        <v>3</v>
      </c>
      <c r="C7" s="64" t="s">
        <v>18</v>
      </c>
      <c r="D7" s="69" t="s">
        <v>19</v>
      </c>
      <c r="E7" s="119" t="s">
        <v>20</v>
      </c>
      <c r="F7" s="65" t="s">
        <v>21</v>
      </c>
      <c r="G7" s="119" t="s">
        <v>12</v>
      </c>
      <c r="H7" s="119" t="s">
        <v>13</v>
      </c>
    </row>
    <row r="8" spans="2:8">
      <c r="B8" s="65">
        <v>4</v>
      </c>
      <c r="C8" s="121" t="s">
        <v>22</v>
      </c>
      <c r="D8" s="65" t="s">
        <v>23</v>
      </c>
      <c r="E8" s="119" t="s">
        <v>24</v>
      </c>
      <c r="F8" s="65" t="s">
        <v>25</v>
      </c>
      <c r="G8" s="119" t="s">
        <v>12</v>
      </c>
      <c r="H8" s="119" t="s">
        <v>13</v>
      </c>
    </row>
    <row r="9" spans="2:8">
      <c r="B9" s="65">
        <v>5</v>
      </c>
      <c r="C9" s="121" t="s">
        <v>26</v>
      </c>
      <c r="D9" s="65" t="s">
        <v>27</v>
      </c>
      <c r="E9" s="119" t="s">
        <v>28</v>
      </c>
      <c r="F9" s="65" t="s">
        <v>29</v>
      </c>
      <c r="G9" s="119" t="s">
        <v>12</v>
      </c>
      <c r="H9" s="119" t="s">
        <v>13</v>
      </c>
    </row>
    <row r="10" spans="2:8">
      <c r="B10" s="65">
        <v>6</v>
      </c>
      <c r="C10" s="121" t="s">
        <v>30</v>
      </c>
      <c r="D10" s="65" t="s">
        <v>31</v>
      </c>
      <c r="E10" s="119" t="s">
        <v>32</v>
      </c>
      <c r="F10" s="65" t="s">
        <v>33</v>
      </c>
      <c r="G10" s="119" t="s">
        <v>12</v>
      </c>
      <c r="H10" s="119" t="s">
        <v>13</v>
      </c>
    </row>
    <row r="11" spans="2:8">
      <c r="B11" s="119" t="s">
        <v>34</v>
      </c>
      <c r="C11" s="121" t="s">
        <v>35</v>
      </c>
      <c r="D11" s="65"/>
      <c r="E11" s="119" t="s">
        <v>36</v>
      </c>
      <c r="F11" s="65"/>
      <c r="G11" s="119" t="s">
        <v>12</v>
      </c>
      <c r="H11" s="119" t="s">
        <v>37</v>
      </c>
    </row>
    <row r="12" spans="2:8">
      <c r="B12" s="65">
        <v>7</v>
      </c>
      <c r="C12" s="64" t="s">
        <v>38</v>
      </c>
      <c r="D12" s="65" t="s">
        <v>39</v>
      </c>
      <c r="E12" s="119" t="s">
        <v>40</v>
      </c>
      <c r="F12" s="65" t="s">
        <v>41</v>
      </c>
      <c r="G12" s="119" t="s">
        <v>12</v>
      </c>
      <c r="H12" s="119" t="s">
        <v>13</v>
      </c>
    </row>
    <row r="13" spans="2:8">
      <c r="B13" s="65">
        <v>11</v>
      </c>
      <c r="C13" s="121" t="s">
        <v>42</v>
      </c>
      <c r="D13" s="65" t="s">
        <v>43</v>
      </c>
      <c r="E13" s="119" t="s">
        <v>44</v>
      </c>
      <c r="F13" s="65" t="s">
        <v>45</v>
      </c>
      <c r="G13" s="119" t="s">
        <v>12</v>
      </c>
      <c r="H13" s="119" t="s">
        <v>13</v>
      </c>
    </row>
    <row r="14" spans="2:8">
      <c r="B14" s="65" t="s">
        <v>46</v>
      </c>
      <c r="C14" s="64" t="s">
        <v>47</v>
      </c>
      <c r="D14" s="65" t="s">
        <v>48</v>
      </c>
      <c r="E14" s="119" t="s">
        <v>49</v>
      </c>
      <c r="F14" s="65" t="s">
        <v>50</v>
      </c>
      <c r="G14" s="119" t="s">
        <v>12</v>
      </c>
      <c r="H14" s="119" t="s">
        <v>51</v>
      </c>
    </row>
    <row r="15" spans="2:8">
      <c r="B15" s="65">
        <v>21</v>
      </c>
      <c r="C15" s="121" t="s">
        <v>52</v>
      </c>
      <c r="D15" s="65" t="s">
        <v>53</v>
      </c>
      <c r="E15" s="119" t="s">
        <v>54</v>
      </c>
      <c r="F15" s="69" t="s">
        <v>19</v>
      </c>
      <c r="G15" s="119" t="s">
        <v>12</v>
      </c>
      <c r="H15" s="119" t="s">
        <v>13</v>
      </c>
    </row>
    <row r="16" spans="2:8">
      <c r="B16" s="65">
        <v>22</v>
      </c>
      <c r="C16" s="121" t="s">
        <v>55</v>
      </c>
      <c r="D16" s="65" t="s">
        <v>56</v>
      </c>
      <c r="E16" s="119" t="s">
        <v>57</v>
      </c>
      <c r="F16" s="69" t="s">
        <v>19</v>
      </c>
      <c r="G16" s="119" t="s">
        <v>12</v>
      </c>
      <c r="H16" s="119" t="s">
        <v>13</v>
      </c>
    </row>
    <row r="17" spans="2:8">
      <c r="B17" s="65" t="s">
        <v>58</v>
      </c>
      <c r="C17" s="121" t="s">
        <v>59</v>
      </c>
      <c r="D17" s="69" t="s">
        <v>19</v>
      </c>
      <c r="E17" s="119" t="s">
        <v>60</v>
      </c>
      <c r="F17" s="69" t="s">
        <v>19</v>
      </c>
      <c r="G17" s="119" t="s">
        <v>12</v>
      </c>
      <c r="H17" s="119" t="s">
        <v>37</v>
      </c>
    </row>
    <row r="18" spans="2:8">
      <c r="B18" s="65" t="s">
        <v>61</v>
      </c>
      <c r="C18" s="121" t="s">
        <v>62</v>
      </c>
      <c r="D18" s="69" t="s">
        <v>19</v>
      </c>
      <c r="E18" s="119" t="s">
        <v>63</v>
      </c>
      <c r="F18" s="69" t="s">
        <v>19</v>
      </c>
      <c r="G18" s="119" t="s">
        <v>12</v>
      </c>
      <c r="H18" s="119" t="s">
        <v>37</v>
      </c>
    </row>
    <row r="19" spans="2:8">
      <c r="D19" s="5"/>
      <c r="E19" s="5"/>
      <c r="F19" s="5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8" scale="82" orientation="landscape" r:id="rId1"/>
  <headerFooter>
    <oddFooter>&amp;RRegulatory Accounts - M tables 2010-11 v1.2&amp;L&amp;1#&amp;"Arial"&amp;11&amp;K000000SW Internal Commercial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00FF"/>
    <pageSetUpPr fitToPage="1"/>
  </sheetPr>
  <dimension ref="A2:H34"/>
  <sheetViews>
    <sheetView zoomScaleNormal="100" zoomScaleSheetLayoutView="100" workbookViewId="0">
      <selection activeCell="J24" sqref="J24"/>
    </sheetView>
  </sheetViews>
  <sheetFormatPr defaultColWidth="9.1796875" defaultRowHeight="12.5"/>
  <cols>
    <col min="1" max="1" width="6" style="700" customWidth="1"/>
    <col min="2" max="2" width="55.453125" style="699" bestFit="1" customWidth="1"/>
    <col min="3" max="5" width="9.7265625" style="699" customWidth="1"/>
    <col min="6" max="7" width="11.26953125" style="699" bestFit="1" customWidth="1"/>
    <col min="8" max="8" width="11.26953125" style="699" customWidth="1"/>
    <col min="9" max="16384" width="9.1796875" style="699"/>
  </cols>
  <sheetData>
    <row r="2" spans="1:8" ht="15.5">
      <c r="A2" s="698" t="s">
        <v>64</v>
      </c>
    </row>
    <row r="3" spans="1:8" ht="15.5">
      <c r="A3" s="698" t="s">
        <v>560</v>
      </c>
    </row>
    <row r="4" spans="1:8">
      <c r="C4" s="701"/>
    </row>
    <row r="5" spans="1:8" ht="13">
      <c r="A5" s="702" t="s">
        <v>66</v>
      </c>
      <c r="B5" s="703" t="s">
        <v>67</v>
      </c>
      <c r="C5" s="704" t="s">
        <v>68</v>
      </c>
      <c r="D5" s="704" t="s">
        <v>69</v>
      </c>
      <c r="E5" s="705" t="s">
        <v>70</v>
      </c>
      <c r="F5" s="706" t="s">
        <v>561</v>
      </c>
      <c r="G5" s="706" t="s">
        <v>71</v>
      </c>
      <c r="H5" s="726" t="s">
        <v>562</v>
      </c>
    </row>
    <row r="6" spans="1:8" ht="13">
      <c r="A6" s="707"/>
      <c r="B6" s="708"/>
      <c r="C6" s="709" t="s">
        <v>563</v>
      </c>
      <c r="D6" s="709"/>
      <c r="E6" s="710" t="s">
        <v>73</v>
      </c>
      <c r="F6" s="711"/>
      <c r="G6" s="711"/>
      <c r="H6" s="711"/>
    </row>
    <row r="7" spans="1:8">
      <c r="A7" s="712" t="s">
        <v>564</v>
      </c>
      <c r="B7" s="713" t="s">
        <v>147</v>
      </c>
      <c r="C7" s="714" t="s">
        <v>565</v>
      </c>
      <c r="D7" s="715" t="s">
        <v>80</v>
      </c>
      <c r="E7" s="715" t="s">
        <v>237</v>
      </c>
      <c r="F7" s="142">
        <v>2.5939999999999999</v>
      </c>
      <c r="G7" s="716">
        <v>2.89</v>
      </c>
      <c r="H7" s="716">
        <v>3.2639999999999998</v>
      </c>
    </row>
    <row r="8" spans="1:8">
      <c r="A8" s="712" t="s">
        <v>566</v>
      </c>
      <c r="B8" s="713" t="s">
        <v>567</v>
      </c>
      <c r="D8" s="715" t="s">
        <v>80</v>
      </c>
      <c r="E8" s="715" t="s">
        <v>237</v>
      </c>
      <c r="F8" s="142">
        <v>34.420999999999999</v>
      </c>
      <c r="G8" s="716">
        <v>36.515000000000001</v>
      </c>
      <c r="H8" s="716">
        <v>41.426000000000002</v>
      </c>
    </row>
    <row r="9" spans="1:8">
      <c r="A9" s="712" t="s">
        <v>568</v>
      </c>
      <c r="B9" s="713" t="s">
        <v>569</v>
      </c>
      <c r="C9" s="713"/>
      <c r="D9" s="715" t="s">
        <v>80</v>
      </c>
      <c r="E9" s="715" t="s">
        <v>237</v>
      </c>
      <c r="F9" s="142">
        <v>0</v>
      </c>
      <c r="G9" s="716">
        <v>0</v>
      </c>
      <c r="H9" s="716">
        <v>0</v>
      </c>
    </row>
    <row r="10" spans="1:8">
      <c r="A10" s="712" t="s">
        <v>570</v>
      </c>
      <c r="B10" s="713" t="s">
        <v>571</v>
      </c>
      <c r="C10" s="714" t="s">
        <v>572</v>
      </c>
      <c r="D10" s="715" t="s">
        <v>80</v>
      </c>
      <c r="E10" s="715" t="s">
        <v>237</v>
      </c>
      <c r="F10" s="142">
        <v>7.3460000000000001</v>
      </c>
      <c r="G10" s="716">
        <v>6.593</v>
      </c>
      <c r="H10" s="716">
        <f>19.283-0.001</f>
        <v>19.282</v>
      </c>
    </row>
    <row r="11" spans="1:8">
      <c r="A11" s="712" t="s">
        <v>573</v>
      </c>
      <c r="B11" s="718" t="s">
        <v>574</v>
      </c>
      <c r="C11" s="714" t="s">
        <v>575</v>
      </c>
      <c r="D11" s="715" t="s">
        <v>80</v>
      </c>
      <c r="E11" s="715" t="s">
        <v>237</v>
      </c>
      <c r="F11" s="142">
        <v>0</v>
      </c>
      <c r="G11" s="716">
        <v>0</v>
      </c>
      <c r="H11" s="716">
        <v>0</v>
      </c>
    </row>
    <row r="12" spans="1:8">
      <c r="A12" s="712" t="s">
        <v>576</v>
      </c>
      <c r="B12" s="718" t="s">
        <v>577</v>
      </c>
      <c r="C12" s="714" t="s">
        <v>578</v>
      </c>
      <c r="D12" s="715" t="s">
        <v>80</v>
      </c>
      <c r="E12" s="715" t="s">
        <v>237</v>
      </c>
      <c r="F12" s="142">
        <v>35.085999999999999</v>
      </c>
      <c r="G12" s="716">
        <v>34.805999999999997</v>
      </c>
      <c r="H12" s="716">
        <v>38.151000000000003</v>
      </c>
    </row>
    <row r="13" spans="1:8">
      <c r="A13" s="712" t="s">
        <v>579</v>
      </c>
      <c r="B13" s="718" t="s">
        <v>580</v>
      </c>
      <c r="C13" s="714" t="s">
        <v>581</v>
      </c>
      <c r="D13" s="715" t="s">
        <v>80</v>
      </c>
      <c r="E13" s="715" t="s">
        <v>237</v>
      </c>
      <c r="F13" s="142">
        <v>-25.161999999999999</v>
      </c>
      <c r="G13" s="716">
        <v>-16.088000000000001</v>
      </c>
      <c r="H13" s="716">
        <v>-24.099</v>
      </c>
    </row>
    <row r="14" spans="1:8">
      <c r="A14" s="712" t="s">
        <v>582</v>
      </c>
      <c r="B14" s="718" t="s">
        <v>583</v>
      </c>
      <c r="C14" s="714"/>
      <c r="D14" s="715" t="s">
        <v>80</v>
      </c>
      <c r="E14" s="715" t="s">
        <v>237</v>
      </c>
      <c r="F14" s="142">
        <v>-57.32</v>
      </c>
      <c r="G14" s="716">
        <v>-58.517000000000003</v>
      </c>
      <c r="H14" s="716">
        <v>-59.378999999999998</v>
      </c>
    </row>
    <row r="15" spans="1:8">
      <c r="A15" s="712" t="s">
        <v>584</v>
      </c>
      <c r="B15" s="718" t="s">
        <v>585</v>
      </c>
      <c r="C15" s="714" t="s">
        <v>586</v>
      </c>
      <c r="D15" s="715" t="s">
        <v>80</v>
      </c>
      <c r="E15" s="715" t="s">
        <v>237</v>
      </c>
      <c r="F15" s="142">
        <v>0</v>
      </c>
      <c r="G15" s="716">
        <v>0</v>
      </c>
      <c r="H15" s="716">
        <v>0</v>
      </c>
    </row>
    <row r="16" spans="1:8">
      <c r="A16" s="712" t="s">
        <v>587</v>
      </c>
      <c r="B16" s="718" t="s">
        <v>588</v>
      </c>
      <c r="C16" s="714" t="s">
        <v>589</v>
      </c>
      <c r="D16" s="715" t="s">
        <v>80</v>
      </c>
      <c r="E16" s="715" t="s">
        <v>237</v>
      </c>
      <c r="F16" s="142">
        <v>-92.338999999999999</v>
      </c>
      <c r="G16" s="716">
        <v>-109.172</v>
      </c>
      <c r="H16" s="716">
        <v>-124.08199999999999</v>
      </c>
    </row>
    <row r="17" spans="1:8">
      <c r="A17" s="712" t="s">
        <v>590</v>
      </c>
      <c r="B17" s="718" t="s">
        <v>591</v>
      </c>
      <c r="C17" s="714"/>
      <c r="D17" s="715" t="s">
        <v>80</v>
      </c>
      <c r="E17" s="715" t="s">
        <v>237</v>
      </c>
      <c r="F17" s="142">
        <v>-34</v>
      </c>
      <c r="G17" s="716">
        <v>-34</v>
      </c>
      <c r="H17" s="716">
        <v>-34.960999999999999</v>
      </c>
    </row>
    <row r="18" spans="1:8">
      <c r="A18" s="712" t="s">
        <v>592</v>
      </c>
      <c r="B18" s="718" t="s">
        <v>593</v>
      </c>
      <c r="C18" s="714" t="s">
        <v>594</v>
      </c>
      <c r="D18" s="715" t="s">
        <v>80</v>
      </c>
      <c r="E18" s="715" t="s">
        <v>237</v>
      </c>
      <c r="F18" s="143">
        <v>-234.28800000000001</v>
      </c>
      <c r="G18" s="830">
        <f>-170.389-62.2-3</f>
        <v>-235.589</v>
      </c>
      <c r="H18" s="830">
        <f>-215.114+0.001</f>
        <v>-215.113</v>
      </c>
    </row>
    <row r="19" spans="1:8">
      <c r="A19" s="712" t="s">
        <v>595</v>
      </c>
      <c r="B19" s="718" t="s">
        <v>596</v>
      </c>
      <c r="C19" s="714" t="s">
        <v>597</v>
      </c>
      <c r="D19" s="715" t="s">
        <v>80</v>
      </c>
      <c r="E19" s="715" t="s">
        <v>100</v>
      </c>
      <c r="F19" s="831">
        <f>SUM(F7:F18)</f>
        <v>-363.66200000000003</v>
      </c>
      <c r="G19" s="831">
        <f>SUM(G7:G18)</f>
        <v>-372.56200000000001</v>
      </c>
      <c r="H19" s="831">
        <f>SUM(H7:H18)</f>
        <v>-355.51099999999997</v>
      </c>
    </row>
    <row r="20" spans="1:8">
      <c r="A20" s="828" t="s">
        <v>598</v>
      </c>
      <c r="B20" s="829" t="s">
        <v>599</v>
      </c>
      <c r="C20" s="714" t="s">
        <v>355</v>
      </c>
      <c r="D20" s="715"/>
      <c r="E20" s="715" t="s">
        <v>237</v>
      </c>
      <c r="F20" s="832">
        <v>-12.367000000000001</v>
      </c>
      <c r="G20" s="832">
        <v>-10.967000000000001</v>
      </c>
      <c r="H20" s="832">
        <v>-10.975</v>
      </c>
    </row>
    <row r="21" spans="1:8">
      <c r="A21" s="828" t="s">
        <v>600</v>
      </c>
      <c r="B21" s="829" t="s">
        <v>601</v>
      </c>
      <c r="C21" s="714"/>
      <c r="D21" s="715"/>
      <c r="E21" s="715" t="s">
        <v>100</v>
      </c>
      <c r="F21" s="831">
        <f>SUM(F19:F20)</f>
        <v>-376.02900000000005</v>
      </c>
      <c r="G21" s="831">
        <f>SUM(G19:G20)</f>
        <v>-383.529</v>
      </c>
      <c r="H21" s="831">
        <f>SUM(H19:H20)</f>
        <v>-366.48599999999999</v>
      </c>
    </row>
    <row r="22" spans="1:8" ht="13">
      <c r="B22" s="719"/>
      <c r="C22" s="719"/>
      <c r="D22" s="719"/>
      <c r="E22" s="719"/>
      <c r="F22" s="719"/>
      <c r="G22" s="719"/>
      <c r="H22" s="719"/>
    </row>
    <row r="23" spans="1:8">
      <c r="B23" s="720"/>
      <c r="C23" s="720"/>
      <c r="D23" s="720"/>
      <c r="E23" s="720"/>
    </row>
    <row r="24" spans="1:8" ht="13">
      <c r="A24" s="833" t="s">
        <v>602</v>
      </c>
      <c r="B24" s="722" t="s">
        <v>603</v>
      </c>
      <c r="C24" s="721"/>
      <c r="D24" s="721"/>
      <c r="E24" s="721"/>
      <c r="F24" s="836">
        <f>+F21-F25</f>
        <v>-305.32900000000006</v>
      </c>
      <c r="G24" s="836">
        <f>+G21-G25</f>
        <v>-311.82900000000001</v>
      </c>
      <c r="H24" s="836">
        <f>+H21-H25</f>
        <v>-305.38599999999997</v>
      </c>
    </row>
    <row r="25" spans="1:8" ht="13">
      <c r="A25" s="833" t="s">
        <v>604</v>
      </c>
      <c r="B25" s="722" t="s">
        <v>605</v>
      </c>
      <c r="C25" s="722"/>
      <c r="D25" s="722"/>
      <c r="E25" s="722"/>
      <c r="F25" s="836">
        <v>-70.7</v>
      </c>
      <c r="G25" s="836">
        <f>-62.2-9.5</f>
        <v>-71.7</v>
      </c>
      <c r="H25" s="836">
        <f>'M2'!I37</f>
        <v>-61.1</v>
      </c>
    </row>
    <row r="26" spans="1:8" ht="13">
      <c r="A26" s="834" t="s">
        <v>600</v>
      </c>
      <c r="B26" s="835" t="s">
        <v>601</v>
      </c>
      <c r="C26" s="723"/>
      <c r="D26" s="723"/>
      <c r="E26" s="723"/>
      <c r="F26" s="837">
        <f>SUM(F24:F25)</f>
        <v>-376.02900000000005</v>
      </c>
      <c r="G26" s="837">
        <f>SUM(G24:G25)</f>
        <v>-383.529</v>
      </c>
      <c r="H26" s="837">
        <f>SUM(H24:H25)</f>
        <v>-366.48599999999999</v>
      </c>
    </row>
    <row r="27" spans="1:8">
      <c r="G27" s="717"/>
      <c r="H27" s="717"/>
    </row>
    <row r="29" spans="1:8">
      <c r="H29" s="717"/>
    </row>
    <row r="30" spans="1:8" ht="13">
      <c r="B30" s="724"/>
    </row>
    <row r="31" spans="1:8" ht="13">
      <c r="B31" s="724"/>
    </row>
    <row r="32" spans="1:8" ht="13">
      <c r="B32" s="724"/>
    </row>
    <row r="33" spans="2:2" ht="13">
      <c r="B33" s="724"/>
    </row>
    <row r="34" spans="2:2" ht="13">
      <c r="B34" s="724"/>
    </row>
  </sheetData>
  <pageMargins left="0.39370078740157483" right="0.39370078740157483" top="0.39370078740157483" bottom="0.39370078740157483" header="0.19685039370078741" footer="0.19685039370078741"/>
  <pageSetup paperSize="9" scale="88" orientation="landscape" r:id="rId1"/>
  <headerFooter alignWithMargins="0">
    <oddFooter>&amp;L&amp;"Calibri"&amp;11&amp;K000000&amp;8&amp;Z&amp;F_x000D_&amp;1#&amp;"Arial"&amp;11&amp;K000000SW Internal Commercial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pageSetUpPr fitToPage="1"/>
  </sheetPr>
  <dimension ref="A2:Z86"/>
  <sheetViews>
    <sheetView topLeftCell="A4" zoomScale="115" zoomScaleNormal="115" workbookViewId="0">
      <pane xSplit="5" ySplit="8" topLeftCell="G24" activePane="bottomRight" state="frozen"/>
      <selection pane="topRight" activeCell="F4" sqref="F4"/>
      <selection pane="bottomLeft" activeCell="A12" sqref="A12"/>
      <selection pane="bottomRight" activeCell="B71" sqref="B71"/>
    </sheetView>
  </sheetViews>
  <sheetFormatPr defaultColWidth="9.1796875" defaultRowHeight="12.5"/>
  <cols>
    <col min="1" max="1" width="9.1796875" style="239"/>
    <col min="2" max="2" width="56.81640625" style="239" customWidth="1"/>
    <col min="3" max="3" width="9.453125" style="239" bestFit="1" customWidth="1"/>
    <col min="4" max="4" width="9.1796875" style="239"/>
    <col min="5" max="5" width="10" style="239" customWidth="1"/>
    <col min="6" max="6" width="3.26953125" style="239" customWidth="1"/>
    <col min="7" max="7" width="30.453125" style="238" customWidth="1"/>
    <col min="8" max="8" width="6.7265625" style="239" customWidth="1"/>
    <col min="9" max="10" width="14.26953125" style="238" customWidth="1"/>
    <col min="11" max="11" width="14.453125" style="238" customWidth="1"/>
    <col min="12" max="12" width="3.453125" style="239" customWidth="1"/>
    <col min="13" max="13" width="18" style="238" customWidth="1"/>
    <col min="14" max="14" width="3.1796875" style="239" customWidth="1"/>
    <col min="15" max="15" width="16" style="238" customWidth="1"/>
    <col min="16" max="16" width="3.1796875" style="239" customWidth="1"/>
    <col min="17" max="17" width="14.26953125" style="238" customWidth="1"/>
    <col min="18" max="18" width="2.453125" style="239" customWidth="1"/>
    <col min="19" max="21" width="14.26953125" style="238" customWidth="1"/>
    <col min="22" max="22" width="4.26953125" style="239" customWidth="1"/>
    <col min="23" max="23" width="14.26953125" style="238" customWidth="1"/>
    <col min="24" max="24" width="4.81640625" style="239" customWidth="1"/>
    <col min="25" max="25" width="15.26953125" style="238" customWidth="1"/>
    <col min="26" max="26" width="7.7265625" style="239" customWidth="1"/>
    <col min="27" max="27" width="3.1796875" style="239" customWidth="1"/>
    <col min="28" max="28" width="11.1796875" style="239" customWidth="1"/>
    <col min="29" max="16384" width="9.1796875" style="239"/>
  </cols>
  <sheetData>
    <row r="2" spans="1:26" ht="15.5">
      <c r="A2" s="87" t="s">
        <v>64</v>
      </c>
      <c r="B2" s="292"/>
      <c r="C2" s="292"/>
    </row>
    <row r="3" spans="1:26" ht="15.5">
      <c r="A3" s="388" t="s">
        <v>606</v>
      </c>
    </row>
    <row r="4" spans="1:26" ht="13">
      <c r="A4" s="293"/>
    </row>
    <row r="5" spans="1:26" ht="13">
      <c r="A5" s="293"/>
      <c r="F5" s="239" t="s">
        <v>607</v>
      </c>
      <c r="G5" s="854" t="str">
        <f>reportyear</f>
        <v>2019-20</v>
      </c>
      <c r="H5" s="855"/>
      <c r="I5" s="855"/>
      <c r="J5" s="855"/>
      <c r="K5" s="855"/>
      <c r="L5" s="855"/>
      <c r="M5" s="855"/>
      <c r="N5" s="855"/>
      <c r="O5" s="855"/>
      <c r="P5" s="855"/>
      <c r="Q5" s="855"/>
      <c r="R5" s="855"/>
      <c r="S5" s="855"/>
      <c r="T5" s="855"/>
      <c r="U5" s="855"/>
      <c r="V5" s="855"/>
      <c r="W5" s="855"/>
      <c r="X5" s="855"/>
      <c r="Y5" s="855"/>
      <c r="Z5" s="855"/>
    </row>
    <row r="6" spans="1:26" ht="13" thickBot="1">
      <c r="G6" s="294">
        <v>1</v>
      </c>
      <c r="H6" s="295"/>
      <c r="I6" s="296">
        <v>2</v>
      </c>
      <c r="J6" s="296">
        <v>3</v>
      </c>
      <c r="K6" s="296">
        <v>4</v>
      </c>
      <c r="L6" s="240"/>
      <c r="M6" s="240">
        <v>5</v>
      </c>
      <c r="N6" s="240"/>
      <c r="O6" s="240">
        <v>6</v>
      </c>
      <c r="P6" s="240"/>
      <c r="Q6" s="240">
        <v>7</v>
      </c>
      <c r="R6" s="240"/>
      <c r="S6" s="240">
        <v>8</v>
      </c>
      <c r="T6" s="240">
        <v>9</v>
      </c>
      <c r="U6" s="240">
        <v>10</v>
      </c>
      <c r="V6" s="240"/>
      <c r="W6" s="240">
        <v>11</v>
      </c>
      <c r="X6" s="297"/>
      <c r="Y6" s="298">
        <v>12</v>
      </c>
      <c r="Z6" s="299">
        <v>13</v>
      </c>
    </row>
    <row r="7" spans="1:26" ht="13.5" thickBot="1">
      <c r="G7" s="73" t="s">
        <v>608</v>
      </c>
      <c r="I7" s="300"/>
      <c r="J7" s="301"/>
      <c r="K7" s="302"/>
      <c r="L7" s="510"/>
      <c r="M7" s="303"/>
      <c r="N7" s="304"/>
      <c r="O7" s="303"/>
      <c r="P7" s="510" t="s">
        <v>609</v>
      </c>
      <c r="Q7" s="303"/>
      <c r="R7" s="304"/>
      <c r="S7" s="303"/>
      <c r="T7" s="303"/>
      <c r="U7" s="303"/>
      <c r="V7" s="304"/>
      <c r="W7" s="305"/>
      <c r="X7" s="240"/>
      <c r="Y7" s="306"/>
      <c r="Z7" s="307"/>
    </row>
    <row r="8" spans="1:26" ht="13.5" thickBot="1">
      <c r="A8" s="308"/>
      <c r="G8" s="309"/>
      <c r="I8" s="859" t="s">
        <v>610</v>
      </c>
      <c r="J8" s="860"/>
      <c r="K8" s="860"/>
      <c r="L8" s="860"/>
      <c r="M8" s="860"/>
      <c r="N8" s="74"/>
      <c r="O8" s="310"/>
      <c r="Q8" s="859" t="s">
        <v>611</v>
      </c>
      <c r="R8" s="860"/>
      <c r="S8" s="860"/>
      <c r="T8" s="860"/>
      <c r="U8" s="861"/>
      <c r="V8" s="240"/>
      <c r="W8" s="311"/>
      <c r="X8" s="240"/>
      <c r="Y8" s="312"/>
      <c r="Z8" s="313"/>
    </row>
    <row r="9" spans="1:26" ht="13.5" thickBot="1">
      <c r="A9" s="314" t="s">
        <v>66</v>
      </c>
      <c r="B9" s="315" t="s">
        <v>67</v>
      </c>
      <c r="C9" s="316" t="s">
        <v>612</v>
      </c>
      <c r="D9" s="316" t="s">
        <v>69</v>
      </c>
      <c r="E9" s="509" t="s">
        <v>70</v>
      </c>
      <c r="G9" s="862" t="s">
        <v>76</v>
      </c>
      <c r="I9" s="856" t="s">
        <v>613</v>
      </c>
      <c r="J9" s="857"/>
      <c r="K9" s="858"/>
      <c r="M9" s="511" t="s">
        <v>508</v>
      </c>
      <c r="N9" s="240"/>
      <c r="O9" s="512" t="s">
        <v>614</v>
      </c>
      <c r="Q9" s="511" t="s">
        <v>615</v>
      </c>
      <c r="R9" s="291"/>
      <c r="S9" s="317" t="s">
        <v>616</v>
      </c>
      <c r="T9" s="318"/>
      <c r="U9" s="319"/>
      <c r="W9" s="511" t="s">
        <v>508</v>
      </c>
      <c r="Y9" s="320" t="s">
        <v>508</v>
      </c>
      <c r="Z9" s="321"/>
    </row>
    <row r="10" spans="1:26" ht="13">
      <c r="A10" s="322" t="s">
        <v>617</v>
      </c>
      <c r="B10" s="323"/>
      <c r="C10" s="324" t="s">
        <v>618</v>
      </c>
      <c r="D10" s="324"/>
      <c r="E10" s="325" t="s">
        <v>73</v>
      </c>
      <c r="G10" s="863"/>
      <c r="I10" s="326" t="s">
        <v>619</v>
      </c>
      <c r="J10" s="327" t="s">
        <v>620</v>
      </c>
      <c r="K10" s="328"/>
      <c r="M10" s="329" t="s">
        <v>621</v>
      </c>
      <c r="N10" s="75"/>
      <c r="O10" s="329" t="s">
        <v>74</v>
      </c>
      <c r="Q10" s="329" t="s">
        <v>622</v>
      </c>
      <c r="R10" s="75"/>
      <c r="S10" s="330"/>
      <c r="T10" s="331" t="s">
        <v>623</v>
      </c>
      <c r="U10" s="332"/>
      <c r="V10" s="75"/>
      <c r="W10" s="329" t="s">
        <v>624</v>
      </c>
      <c r="X10" s="75"/>
      <c r="Y10" s="333" t="s">
        <v>624</v>
      </c>
      <c r="Z10" s="334"/>
    </row>
    <row r="11" spans="1:26" ht="13.5" thickBot="1">
      <c r="A11" s="335"/>
      <c r="B11" s="336"/>
      <c r="C11" s="337" t="s">
        <v>72</v>
      </c>
      <c r="D11" s="337"/>
      <c r="E11" s="338"/>
      <c r="G11" s="864"/>
      <c r="I11" s="339"/>
      <c r="J11" s="340"/>
      <c r="K11" s="341" t="s">
        <v>76</v>
      </c>
      <c r="M11" s="513"/>
      <c r="N11" s="240"/>
      <c r="O11" s="513" t="s">
        <v>76</v>
      </c>
      <c r="Q11" s="513"/>
      <c r="R11" s="76"/>
      <c r="S11" s="339" t="s">
        <v>625</v>
      </c>
      <c r="T11" s="342" t="s">
        <v>625</v>
      </c>
      <c r="U11" s="341" t="s">
        <v>76</v>
      </c>
      <c r="V11" s="76"/>
      <c r="W11" s="513" t="s">
        <v>626</v>
      </c>
      <c r="X11" s="76"/>
      <c r="Y11" s="343" t="s">
        <v>76</v>
      </c>
      <c r="Z11" s="344" t="s">
        <v>627</v>
      </c>
    </row>
    <row r="12" spans="1:26" ht="13" thickBot="1">
      <c r="A12" s="345"/>
      <c r="B12" s="346"/>
    </row>
    <row r="13" spans="1:26" ht="13.5" thickBot="1">
      <c r="A13" s="347"/>
      <c r="B13" s="348" t="s">
        <v>628</v>
      </c>
      <c r="C13" s="348"/>
      <c r="D13" s="348"/>
      <c r="E13" s="349"/>
      <c r="N13" s="240" t="s">
        <v>629</v>
      </c>
      <c r="O13" s="350"/>
      <c r="P13" s="240"/>
      <c r="Q13" s="350"/>
      <c r="R13" s="240"/>
      <c r="S13" s="350"/>
      <c r="T13" s="350"/>
      <c r="Y13" s="350"/>
      <c r="Z13" s="240"/>
    </row>
    <row r="14" spans="1:26" ht="13">
      <c r="A14" s="128" t="s">
        <v>630</v>
      </c>
      <c r="B14" s="351" t="s">
        <v>631</v>
      </c>
      <c r="C14" s="352" t="s">
        <v>632</v>
      </c>
      <c r="D14" s="352" t="s">
        <v>80</v>
      </c>
      <c r="E14" s="353" t="s">
        <v>633</v>
      </c>
      <c r="G14" s="580">
        <v>1.9330000000000001</v>
      </c>
      <c r="H14" s="565"/>
      <c r="I14" s="583">
        <v>2.0529999999999999</v>
      </c>
      <c r="J14" s="584">
        <v>13.393000000000001</v>
      </c>
      <c r="K14" s="730">
        <f t="shared" ref="K14:K19" si="0">I14+J14</f>
        <v>15.446000000000002</v>
      </c>
      <c r="L14" s="578"/>
      <c r="M14" s="580">
        <v>25.809000000000001</v>
      </c>
      <c r="N14" s="565"/>
      <c r="O14" s="731">
        <f t="shared" ref="O14:O19" si="1">K14+M14</f>
        <v>41.255000000000003</v>
      </c>
      <c r="P14" s="565"/>
      <c r="Q14" s="565"/>
      <c r="R14" s="565"/>
      <c r="S14" s="565"/>
      <c r="T14" s="565"/>
      <c r="U14" s="565"/>
      <c r="V14" s="565"/>
      <c r="W14" s="731">
        <f t="shared" ref="W14:W22" si="2">O14</f>
        <v>41.255000000000003</v>
      </c>
      <c r="X14" s="565"/>
      <c r="Y14" s="732">
        <f t="shared" ref="Y14:Y22" si="3">W14+G14</f>
        <v>43.188000000000002</v>
      </c>
      <c r="Z14" s="600" t="s">
        <v>634</v>
      </c>
    </row>
    <row r="15" spans="1:26" ht="12.65" customHeight="1">
      <c r="A15" s="124" t="s">
        <v>635</v>
      </c>
      <c r="B15" s="354" t="s">
        <v>636</v>
      </c>
      <c r="C15" s="355" t="s">
        <v>637</v>
      </c>
      <c r="D15" s="355" t="s">
        <v>80</v>
      </c>
      <c r="E15" s="356" t="s">
        <v>633</v>
      </c>
      <c r="G15" s="566">
        <v>4.1000000000000002E-2</v>
      </c>
      <c r="H15" s="565"/>
      <c r="I15" s="561">
        <v>4.0830000000000002</v>
      </c>
      <c r="J15" s="562">
        <v>9.9480000000000004</v>
      </c>
      <c r="K15" s="733">
        <f t="shared" si="0"/>
        <v>14.031000000000001</v>
      </c>
      <c r="L15" s="578"/>
      <c r="M15" s="566">
        <v>11.289</v>
      </c>
      <c r="N15" s="565"/>
      <c r="O15" s="734">
        <f t="shared" si="1"/>
        <v>25.32</v>
      </c>
      <c r="P15" s="565"/>
      <c r="Q15" s="565"/>
      <c r="R15" s="565"/>
      <c r="S15" s="565"/>
      <c r="T15" s="565"/>
      <c r="U15" s="565"/>
      <c r="V15" s="565"/>
      <c r="W15" s="734">
        <f t="shared" si="2"/>
        <v>25.32</v>
      </c>
      <c r="X15" s="565"/>
      <c r="Y15" s="735">
        <f t="shared" si="3"/>
        <v>25.361000000000001</v>
      </c>
      <c r="Z15" s="601" t="s">
        <v>634</v>
      </c>
    </row>
    <row r="16" spans="1:26">
      <c r="A16" s="124" t="s">
        <v>638</v>
      </c>
      <c r="B16" s="354" t="s">
        <v>639</v>
      </c>
      <c r="C16" s="355" t="s">
        <v>640</v>
      </c>
      <c r="D16" s="355" t="s">
        <v>80</v>
      </c>
      <c r="E16" s="356" t="s">
        <v>633</v>
      </c>
      <c r="G16" s="566">
        <v>3.831</v>
      </c>
      <c r="H16" s="565"/>
      <c r="I16" s="561">
        <v>0.151</v>
      </c>
      <c r="J16" s="562">
        <v>3.5619999999999998</v>
      </c>
      <c r="K16" s="733">
        <f t="shared" si="0"/>
        <v>3.7129999999999996</v>
      </c>
      <c r="L16" s="565"/>
      <c r="M16" s="566">
        <v>14.791</v>
      </c>
      <c r="N16" s="565"/>
      <c r="O16" s="734">
        <f t="shared" si="1"/>
        <v>18.504000000000001</v>
      </c>
      <c r="P16" s="565"/>
      <c r="Q16" s="565"/>
      <c r="R16" s="565"/>
      <c r="S16" s="565"/>
      <c r="T16" s="565"/>
      <c r="U16" s="565"/>
      <c r="V16" s="565"/>
      <c r="W16" s="734">
        <f t="shared" si="2"/>
        <v>18.504000000000001</v>
      </c>
      <c r="X16" s="565"/>
      <c r="Y16" s="735">
        <f t="shared" si="3"/>
        <v>22.335000000000001</v>
      </c>
      <c r="Z16" s="601" t="s">
        <v>634</v>
      </c>
    </row>
    <row r="17" spans="1:26" ht="13">
      <c r="A17" s="124" t="s">
        <v>641</v>
      </c>
      <c r="B17" s="354" t="s">
        <v>642</v>
      </c>
      <c r="C17" s="355" t="s">
        <v>643</v>
      </c>
      <c r="D17" s="355" t="s">
        <v>80</v>
      </c>
      <c r="E17" s="356" t="s">
        <v>633</v>
      </c>
      <c r="G17" s="566">
        <v>0.34499999999999997</v>
      </c>
      <c r="H17" s="565"/>
      <c r="I17" s="561">
        <v>0.20399999999999999</v>
      </c>
      <c r="J17" s="562">
        <v>13.891</v>
      </c>
      <c r="K17" s="733">
        <f t="shared" si="0"/>
        <v>14.095000000000001</v>
      </c>
      <c r="L17" s="578"/>
      <c r="M17" s="566">
        <v>1.522</v>
      </c>
      <c r="N17" s="565"/>
      <c r="O17" s="734">
        <f t="shared" si="1"/>
        <v>15.617000000000001</v>
      </c>
      <c r="P17" s="565"/>
      <c r="Q17" s="565"/>
      <c r="R17" s="565"/>
      <c r="S17" s="565"/>
      <c r="T17" s="565"/>
      <c r="U17" s="565"/>
      <c r="V17" s="565"/>
      <c r="W17" s="734">
        <f t="shared" si="2"/>
        <v>15.617000000000001</v>
      </c>
      <c r="X17" s="565"/>
      <c r="Y17" s="735">
        <f t="shared" si="3"/>
        <v>15.962000000000002</v>
      </c>
      <c r="Z17" s="601" t="s">
        <v>634</v>
      </c>
    </row>
    <row r="18" spans="1:26" ht="13">
      <c r="A18" s="124" t="s">
        <v>644</v>
      </c>
      <c r="B18" s="354" t="s">
        <v>645</v>
      </c>
      <c r="C18" s="355" t="s">
        <v>646</v>
      </c>
      <c r="D18" s="355" t="s">
        <v>80</v>
      </c>
      <c r="E18" s="356" t="s">
        <v>633</v>
      </c>
      <c r="G18" s="566">
        <v>8.0000000000000002E-3</v>
      </c>
      <c r="H18" s="565"/>
      <c r="I18" s="561">
        <v>0.151</v>
      </c>
      <c r="J18" s="562">
        <v>1.9550000000000001</v>
      </c>
      <c r="K18" s="733">
        <f t="shared" si="0"/>
        <v>2.1059999999999999</v>
      </c>
      <c r="L18" s="578"/>
      <c r="M18" s="566">
        <v>4.0000000000000001E-3</v>
      </c>
      <c r="N18" s="565"/>
      <c r="O18" s="734">
        <f t="shared" si="1"/>
        <v>2.11</v>
      </c>
      <c r="P18" s="565"/>
      <c r="Q18" s="565"/>
      <c r="R18" s="565"/>
      <c r="S18" s="565"/>
      <c r="T18" s="565"/>
      <c r="U18" s="565"/>
      <c r="V18" s="565"/>
      <c r="W18" s="734">
        <f t="shared" si="2"/>
        <v>2.11</v>
      </c>
      <c r="X18" s="565"/>
      <c r="Y18" s="735">
        <f t="shared" si="3"/>
        <v>2.1179999999999999</v>
      </c>
      <c r="Z18" s="601" t="s">
        <v>634</v>
      </c>
    </row>
    <row r="19" spans="1:26" ht="13.5" thickBot="1">
      <c r="A19" s="124" t="s">
        <v>647</v>
      </c>
      <c r="B19" s="354" t="s">
        <v>648</v>
      </c>
      <c r="C19" s="355" t="s">
        <v>649</v>
      </c>
      <c r="D19" s="355" t="s">
        <v>80</v>
      </c>
      <c r="E19" s="356" t="s">
        <v>633</v>
      </c>
      <c r="G19" s="581">
        <v>0</v>
      </c>
      <c r="H19" s="565"/>
      <c r="I19" s="585">
        <v>0</v>
      </c>
      <c r="J19" s="586">
        <v>0</v>
      </c>
      <c r="K19" s="736">
        <f t="shared" si="0"/>
        <v>0</v>
      </c>
      <c r="L19" s="578"/>
      <c r="M19" s="581">
        <v>0</v>
      </c>
      <c r="N19" s="565"/>
      <c r="O19" s="734">
        <f t="shared" si="1"/>
        <v>0</v>
      </c>
      <c r="P19" s="565"/>
      <c r="Q19" s="565"/>
      <c r="R19" s="565"/>
      <c r="S19" s="565"/>
      <c r="T19" s="565"/>
      <c r="U19" s="565"/>
      <c r="V19" s="565"/>
      <c r="W19" s="734">
        <f t="shared" si="2"/>
        <v>0</v>
      </c>
      <c r="X19" s="565"/>
      <c r="Y19" s="735">
        <f t="shared" si="3"/>
        <v>0</v>
      </c>
      <c r="Z19" s="601" t="s">
        <v>634</v>
      </c>
    </row>
    <row r="20" spans="1:26" ht="13.5" thickBot="1">
      <c r="A20" s="124" t="s">
        <v>650</v>
      </c>
      <c r="B20" s="354" t="s">
        <v>651</v>
      </c>
      <c r="C20" s="355"/>
      <c r="D20" s="355" t="s">
        <v>80</v>
      </c>
      <c r="E20" s="356" t="s">
        <v>633</v>
      </c>
      <c r="G20" s="565"/>
      <c r="H20" s="565"/>
      <c r="I20" s="593"/>
      <c r="J20" s="593"/>
      <c r="K20" s="565"/>
      <c r="L20" s="578"/>
      <c r="M20" s="565"/>
      <c r="N20" s="565"/>
      <c r="O20" s="566">
        <v>0</v>
      </c>
      <c r="P20" s="565"/>
      <c r="Q20" s="565"/>
      <c r="R20" s="565"/>
      <c r="S20" s="565"/>
      <c r="T20" s="565"/>
      <c r="U20" s="565"/>
      <c r="V20" s="565"/>
      <c r="W20" s="734">
        <f t="shared" si="2"/>
        <v>0</v>
      </c>
      <c r="X20" s="565"/>
      <c r="Y20" s="735">
        <f t="shared" si="3"/>
        <v>0</v>
      </c>
      <c r="Z20" s="601" t="s">
        <v>634</v>
      </c>
    </row>
    <row r="21" spans="1:26" ht="13.5" thickBot="1">
      <c r="A21" s="124" t="s">
        <v>652</v>
      </c>
      <c r="B21" s="77" t="s">
        <v>653</v>
      </c>
      <c r="C21" s="355"/>
      <c r="D21" s="355" t="s">
        <v>80</v>
      </c>
      <c r="E21" s="356" t="s">
        <v>633</v>
      </c>
      <c r="G21" s="565"/>
      <c r="H21" s="565"/>
      <c r="I21" s="593"/>
      <c r="J21" s="593"/>
      <c r="K21" s="565"/>
      <c r="L21" s="578"/>
      <c r="M21" s="580">
        <v>0</v>
      </c>
      <c r="N21" s="565"/>
      <c r="O21" s="734">
        <f>M21</f>
        <v>0</v>
      </c>
      <c r="P21" s="565"/>
      <c r="Q21" s="565"/>
      <c r="R21" s="565"/>
      <c r="S21" s="565"/>
      <c r="T21" s="565"/>
      <c r="U21" s="565"/>
      <c r="V21" s="565"/>
      <c r="W21" s="734">
        <f t="shared" si="2"/>
        <v>0</v>
      </c>
      <c r="X21" s="565"/>
      <c r="Y21" s="735">
        <f t="shared" si="3"/>
        <v>0</v>
      </c>
      <c r="Z21" s="601" t="s">
        <v>634</v>
      </c>
    </row>
    <row r="22" spans="1:26" ht="13.5" thickBot="1">
      <c r="A22" s="129" t="s">
        <v>654</v>
      </c>
      <c r="B22" s="357" t="s">
        <v>655</v>
      </c>
      <c r="C22" s="358" t="s">
        <v>656</v>
      </c>
      <c r="D22" s="358" t="s">
        <v>80</v>
      </c>
      <c r="E22" s="359" t="s">
        <v>633</v>
      </c>
      <c r="G22" s="579">
        <v>0.245</v>
      </c>
      <c r="H22" s="565"/>
      <c r="I22" s="563">
        <v>0.35</v>
      </c>
      <c r="J22" s="564">
        <v>1.879</v>
      </c>
      <c r="K22" s="737">
        <f>I22+J22</f>
        <v>2.2290000000000001</v>
      </c>
      <c r="L22" s="578"/>
      <c r="M22" s="581">
        <v>2.609</v>
      </c>
      <c r="N22" s="565"/>
      <c r="O22" s="738">
        <f>K22+M22</f>
        <v>4.8380000000000001</v>
      </c>
      <c r="P22" s="608"/>
      <c r="Q22" s="565"/>
      <c r="R22" s="565"/>
      <c r="S22" s="565"/>
      <c r="T22" s="565"/>
      <c r="U22" s="565"/>
      <c r="V22" s="565"/>
      <c r="W22" s="738">
        <f t="shared" si="2"/>
        <v>4.8380000000000001</v>
      </c>
      <c r="X22" s="565"/>
      <c r="Y22" s="739">
        <f t="shared" si="3"/>
        <v>5.0830000000000002</v>
      </c>
      <c r="Z22" s="602" t="s">
        <v>634</v>
      </c>
    </row>
    <row r="23" spans="1:26" ht="16" thickBot="1">
      <c r="G23" s="565"/>
      <c r="H23" s="565"/>
      <c r="I23" s="593"/>
      <c r="J23" s="593"/>
      <c r="K23" s="565"/>
      <c r="L23" s="578"/>
      <c r="M23" s="565"/>
      <c r="N23" s="565"/>
      <c r="O23" s="565"/>
      <c r="P23" s="592"/>
      <c r="Q23" s="565"/>
      <c r="R23" s="565"/>
      <c r="S23" s="565"/>
      <c r="T23" s="565"/>
      <c r="U23" s="565"/>
      <c r="V23" s="565"/>
      <c r="W23" s="565"/>
      <c r="X23" s="565"/>
      <c r="Y23" s="565"/>
      <c r="Z23" s="663"/>
    </row>
    <row r="24" spans="1:26" ht="15.5">
      <c r="A24" s="122" t="s">
        <v>657</v>
      </c>
      <c r="B24" s="351" t="s">
        <v>658</v>
      </c>
      <c r="C24" s="352"/>
      <c r="D24" s="352" t="s">
        <v>80</v>
      </c>
      <c r="E24" s="353" t="s">
        <v>633</v>
      </c>
      <c r="G24" s="580">
        <v>0</v>
      </c>
      <c r="H24" s="565"/>
      <c r="I24" s="593"/>
      <c r="J24" s="593"/>
      <c r="K24" s="565"/>
      <c r="L24" s="578"/>
      <c r="M24" s="565"/>
      <c r="N24" s="565"/>
      <c r="O24" s="565"/>
      <c r="P24" s="740"/>
      <c r="Q24" s="580">
        <v>0</v>
      </c>
      <c r="R24" s="565"/>
      <c r="S24" s="567">
        <v>0</v>
      </c>
      <c r="T24" s="568">
        <v>0</v>
      </c>
      <c r="U24" s="741">
        <f t="shared" ref="U24:U43" si="4">S24+T24</f>
        <v>0</v>
      </c>
      <c r="V24" s="565"/>
      <c r="W24" s="731">
        <f t="shared" ref="W24:W43" si="5">Q24+U24</f>
        <v>0</v>
      </c>
      <c r="X24" s="565"/>
      <c r="Y24" s="742">
        <f>G24+W24</f>
        <v>0</v>
      </c>
      <c r="Z24" s="600" t="s">
        <v>634</v>
      </c>
    </row>
    <row r="25" spans="1:26" ht="13">
      <c r="A25" s="123" t="s">
        <v>659</v>
      </c>
      <c r="B25" s="354" t="s">
        <v>660</v>
      </c>
      <c r="C25" s="355"/>
      <c r="D25" s="355" t="s">
        <v>80</v>
      </c>
      <c r="E25" s="356" t="s">
        <v>633</v>
      </c>
      <c r="G25" s="566">
        <v>0</v>
      </c>
      <c r="H25" s="565"/>
      <c r="I25" s="593"/>
      <c r="J25" s="593"/>
      <c r="K25" s="565"/>
      <c r="L25" s="578"/>
      <c r="M25" s="565"/>
      <c r="N25" s="565"/>
      <c r="O25" s="565"/>
      <c r="P25" s="565"/>
      <c r="Q25" s="566">
        <v>0</v>
      </c>
      <c r="R25" s="565"/>
      <c r="S25" s="569">
        <v>0.96799999999999997</v>
      </c>
      <c r="T25" s="570">
        <v>0.17799999999999999</v>
      </c>
      <c r="U25" s="743">
        <f t="shared" si="4"/>
        <v>1.1459999999999999</v>
      </c>
      <c r="V25" s="565"/>
      <c r="W25" s="734">
        <f t="shared" si="5"/>
        <v>1.1459999999999999</v>
      </c>
      <c r="X25" s="565"/>
      <c r="Y25" s="744">
        <f t="shared" ref="Y25:Y43" si="6">W25+G25</f>
        <v>1.1459999999999999</v>
      </c>
      <c r="Z25" s="601" t="s">
        <v>634</v>
      </c>
    </row>
    <row r="26" spans="1:26">
      <c r="A26" s="123" t="s">
        <v>661</v>
      </c>
      <c r="B26" s="354" t="s">
        <v>662</v>
      </c>
      <c r="C26" s="360"/>
      <c r="D26" s="355" t="s">
        <v>80</v>
      </c>
      <c r="E26" s="356" t="s">
        <v>633</v>
      </c>
      <c r="G26" s="566">
        <v>5.0000000000000001E-3</v>
      </c>
      <c r="H26" s="565"/>
      <c r="I26" s="593"/>
      <c r="J26" s="593"/>
      <c r="K26" s="593"/>
      <c r="L26" s="565"/>
      <c r="M26" s="593"/>
      <c r="N26" s="565"/>
      <c r="O26" s="565"/>
      <c r="P26" s="565"/>
      <c r="Q26" s="566">
        <v>9.9589999999999996</v>
      </c>
      <c r="R26" s="565"/>
      <c r="S26" s="569">
        <v>0.19500000000000001</v>
      </c>
      <c r="T26" s="570">
        <v>3.5999999999999997E-2</v>
      </c>
      <c r="U26" s="743">
        <f t="shared" si="4"/>
        <v>0.23100000000000001</v>
      </c>
      <c r="V26" s="565"/>
      <c r="W26" s="734">
        <f>Q26+U26</f>
        <v>10.19</v>
      </c>
      <c r="X26" s="565"/>
      <c r="Y26" s="744">
        <f t="shared" si="6"/>
        <v>10.195</v>
      </c>
      <c r="Z26" s="603" t="s">
        <v>634</v>
      </c>
    </row>
    <row r="27" spans="1:26">
      <c r="A27" s="123" t="s">
        <v>663</v>
      </c>
      <c r="B27" s="354" t="s">
        <v>664</v>
      </c>
      <c r="C27" s="360"/>
      <c r="D27" s="355" t="s">
        <v>80</v>
      </c>
      <c r="E27" s="356" t="s">
        <v>633</v>
      </c>
      <c r="G27" s="566">
        <v>0</v>
      </c>
      <c r="H27" s="565"/>
      <c r="I27" s="593"/>
      <c r="J27" s="593"/>
      <c r="K27" s="593"/>
      <c r="L27" s="565"/>
      <c r="M27" s="593"/>
      <c r="N27" s="565"/>
      <c r="O27" s="565"/>
      <c r="P27" s="565"/>
      <c r="Q27" s="566">
        <v>0</v>
      </c>
      <c r="R27" s="565"/>
      <c r="S27" s="569">
        <v>0.223</v>
      </c>
      <c r="T27" s="570">
        <v>4.1000000000000002E-2</v>
      </c>
      <c r="U27" s="743">
        <f t="shared" si="4"/>
        <v>0.26400000000000001</v>
      </c>
      <c r="V27" s="565"/>
      <c r="W27" s="734">
        <f t="shared" si="5"/>
        <v>0.26400000000000001</v>
      </c>
      <c r="X27" s="565"/>
      <c r="Y27" s="744">
        <f t="shared" si="6"/>
        <v>0.26400000000000001</v>
      </c>
      <c r="Z27" s="603" t="s">
        <v>634</v>
      </c>
    </row>
    <row r="28" spans="1:26">
      <c r="A28" s="123" t="s">
        <v>665</v>
      </c>
      <c r="B28" s="354" t="s">
        <v>666</v>
      </c>
      <c r="C28" s="355"/>
      <c r="D28" s="355" t="s">
        <v>80</v>
      </c>
      <c r="E28" s="356" t="s">
        <v>633</v>
      </c>
      <c r="G28" s="566">
        <v>0</v>
      </c>
      <c r="H28" s="565"/>
      <c r="I28" s="593"/>
      <c r="J28" s="593"/>
      <c r="K28" s="593"/>
      <c r="L28" s="565"/>
      <c r="M28" s="593"/>
      <c r="N28" s="565"/>
      <c r="O28" s="565"/>
      <c r="P28" s="565"/>
      <c r="Q28" s="566">
        <v>0</v>
      </c>
      <c r="R28" s="565"/>
      <c r="S28" s="569">
        <v>0</v>
      </c>
      <c r="T28" s="570">
        <v>0</v>
      </c>
      <c r="U28" s="743">
        <f t="shared" si="4"/>
        <v>0</v>
      </c>
      <c r="V28" s="565"/>
      <c r="W28" s="734">
        <f t="shared" si="5"/>
        <v>0</v>
      </c>
      <c r="X28" s="565"/>
      <c r="Y28" s="744">
        <f t="shared" si="6"/>
        <v>0</v>
      </c>
      <c r="Z28" s="601" t="s">
        <v>634</v>
      </c>
    </row>
    <row r="29" spans="1:26" ht="13" thickBot="1">
      <c r="A29" s="123" t="s">
        <v>667</v>
      </c>
      <c r="B29" s="354" t="s">
        <v>668</v>
      </c>
      <c r="C29" s="355"/>
      <c r="D29" s="355" t="s">
        <v>80</v>
      </c>
      <c r="E29" s="356" t="s">
        <v>633</v>
      </c>
      <c r="G29" s="566">
        <v>0</v>
      </c>
      <c r="H29" s="565"/>
      <c r="I29" s="593"/>
      <c r="J29" s="593"/>
      <c r="K29" s="593"/>
      <c r="L29" s="565"/>
      <c r="M29" s="593"/>
      <c r="N29" s="565"/>
      <c r="O29" s="565"/>
      <c r="P29" s="565"/>
      <c r="Q29" s="566">
        <v>0</v>
      </c>
      <c r="R29" s="565"/>
      <c r="S29" s="569">
        <v>0</v>
      </c>
      <c r="T29" s="571">
        <v>0</v>
      </c>
      <c r="U29" s="743">
        <f t="shared" si="4"/>
        <v>0</v>
      </c>
      <c r="V29" s="565"/>
      <c r="W29" s="734">
        <f t="shared" si="5"/>
        <v>0</v>
      </c>
      <c r="X29" s="565"/>
      <c r="Y29" s="744">
        <f t="shared" si="6"/>
        <v>0</v>
      </c>
      <c r="Z29" s="601" t="s">
        <v>634</v>
      </c>
    </row>
    <row r="30" spans="1:26">
      <c r="A30" s="123" t="s">
        <v>669</v>
      </c>
      <c r="B30" s="354" t="s">
        <v>670</v>
      </c>
      <c r="C30" s="355"/>
      <c r="D30" s="355" t="s">
        <v>80</v>
      </c>
      <c r="E30" s="356" t="s">
        <v>633</v>
      </c>
      <c r="G30" s="566">
        <v>0</v>
      </c>
      <c r="H30" s="565"/>
      <c r="I30" s="593"/>
      <c r="J30" s="593"/>
      <c r="K30" s="593"/>
      <c r="L30" s="565"/>
      <c r="M30" s="593"/>
      <c r="N30" s="565"/>
      <c r="O30" s="565"/>
      <c r="P30" s="565"/>
      <c r="Q30" s="566">
        <v>0</v>
      </c>
      <c r="R30" s="565"/>
      <c r="S30" s="569">
        <v>0</v>
      </c>
      <c r="T30" s="572"/>
      <c r="U30" s="743">
        <f t="shared" si="4"/>
        <v>0</v>
      </c>
      <c r="V30" s="565"/>
      <c r="W30" s="734">
        <f t="shared" si="5"/>
        <v>0</v>
      </c>
      <c r="X30" s="565"/>
      <c r="Y30" s="744">
        <f t="shared" si="6"/>
        <v>0</v>
      </c>
      <c r="Z30" s="601" t="s">
        <v>634</v>
      </c>
    </row>
    <row r="31" spans="1:26">
      <c r="A31" s="123" t="s">
        <v>671</v>
      </c>
      <c r="B31" s="354" t="s">
        <v>672</v>
      </c>
      <c r="C31" s="355"/>
      <c r="D31" s="355" t="s">
        <v>80</v>
      </c>
      <c r="E31" s="356"/>
      <c r="G31" s="566">
        <v>0</v>
      </c>
      <c r="H31" s="565"/>
      <c r="I31" s="593"/>
      <c r="J31" s="593"/>
      <c r="K31" s="593"/>
      <c r="L31" s="565"/>
      <c r="M31" s="593"/>
      <c r="N31" s="565"/>
      <c r="O31" s="565"/>
      <c r="P31" s="565"/>
      <c r="Q31" s="566">
        <v>0</v>
      </c>
      <c r="R31" s="565"/>
      <c r="S31" s="569">
        <v>0</v>
      </c>
      <c r="T31" s="572"/>
      <c r="U31" s="743">
        <f t="shared" si="4"/>
        <v>0</v>
      </c>
      <c r="V31" s="565"/>
      <c r="W31" s="734">
        <f t="shared" si="5"/>
        <v>0</v>
      </c>
      <c r="X31" s="565"/>
      <c r="Y31" s="744">
        <f t="shared" si="6"/>
        <v>0</v>
      </c>
      <c r="Z31" s="601" t="s">
        <v>634</v>
      </c>
    </row>
    <row r="32" spans="1:26">
      <c r="A32" s="124" t="s">
        <v>673</v>
      </c>
      <c r="B32" s="354" t="s">
        <v>674</v>
      </c>
      <c r="C32" s="355"/>
      <c r="D32" s="355" t="s">
        <v>80</v>
      </c>
      <c r="E32" s="356" t="s">
        <v>633</v>
      </c>
      <c r="G32" s="566">
        <v>0</v>
      </c>
      <c r="H32" s="565"/>
      <c r="I32" s="593"/>
      <c r="J32" s="593"/>
      <c r="K32" s="593"/>
      <c r="L32" s="565"/>
      <c r="M32" s="593"/>
      <c r="N32" s="565"/>
      <c r="O32" s="565"/>
      <c r="P32" s="565"/>
      <c r="Q32" s="566">
        <v>0</v>
      </c>
      <c r="R32" s="565"/>
      <c r="S32" s="569">
        <v>0</v>
      </c>
      <c r="T32" s="572"/>
      <c r="U32" s="743">
        <f t="shared" si="4"/>
        <v>0</v>
      </c>
      <c r="V32" s="565"/>
      <c r="W32" s="734">
        <f t="shared" si="5"/>
        <v>0</v>
      </c>
      <c r="X32" s="565"/>
      <c r="Y32" s="744">
        <f t="shared" si="6"/>
        <v>0</v>
      </c>
      <c r="Z32" s="601" t="s">
        <v>634</v>
      </c>
    </row>
    <row r="33" spans="1:26" ht="13" thickBot="1">
      <c r="A33" s="124" t="s">
        <v>675</v>
      </c>
      <c r="B33" s="354" t="s">
        <v>676</v>
      </c>
      <c r="C33" s="355"/>
      <c r="D33" s="355" t="s">
        <v>80</v>
      </c>
      <c r="E33" s="356" t="s">
        <v>633</v>
      </c>
      <c r="G33" s="566">
        <v>0</v>
      </c>
      <c r="H33" s="565"/>
      <c r="I33" s="593"/>
      <c r="J33" s="593"/>
      <c r="K33" s="593"/>
      <c r="L33" s="565"/>
      <c r="M33" s="593"/>
      <c r="N33" s="565"/>
      <c r="O33" s="565"/>
      <c r="P33" s="565"/>
      <c r="Q33" s="566">
        <v>0</v>
      </c>
      <c r="R33" s="565"/>
      <c r="S33" s="569">
        <v>0</v>
      </c>
      <c r="T33" s="573"/>
      <c r="U33" s="743">
        <f t="shared" si="4"/>
        <v>0</v>
      </c>
      <c r="V33" s="565"/>
      <c r="W33" s="734">
        <f t="shared" si="5"/>
        <v>0</v>
      </c>
      <c r="X33" s="565"/>
      <c r="Y33" s="744">
        <f t="shared" si="6"/>
        <v>0</v>
      </c>
      <c r="Z33" s="601" t="s">
        <v>634</v>
      </c>
    </row>
    <row r="34" spans="1:26">
      <c r="A34" s="124" t="s">
        <v>677</v>
      </c>
      <c r="B34" s="354" t="s">
        <v>678</v>
      </c>
      <c r="C34" s="355"/>
      <c r="D34" s="355" t="s">
        <v>80</v>
      </c>
      <c r="E34" s="356" t="s">
        <v>633</v>
      </c>
      <c r="G34" s="566">
        <v>0</v>
      </c>
      <c r="H34" s="565"/>
      <c r="I34" s="593"/>
      <c r="J34" s="593"/>
      <c r="K34" s="593"/>
      <c r="L34" s="565"/>
      <c r="M34" s="593"/>
      <c r="N34" s="565"/>
      <c r="O34" s="565"/>
      <c r="P34" s="565"/>
      <c r="Q34" s="566">
        <v>0</v>
      </c>
      <c r="R34" s="565"/>
      <c r="S34" s="569">
        <v>0</v>
      </c>
      <c r="T34" s="568">
        <v>0</v>
      </c>
      <c r="U34" s="743">
        <f t="shared" si="4"/>
        <v>0</v>
      </c>
      <c r="V34" s="565"/>
      <c r="W34" s="734">
        <f t="shared" si="5"/>
        <v>0</v>
      </c>
      <c r="X34" s="565"/>
      <c r="Y34" s="744">
        <f t="shared" si="6"/>
        <v>0</v>
      </c>
      <c r="Z34" s="601" t="s">
        <v>634</v>
      </c>
    </row>
    <row r="35" spans="1:26">
      <c r="A35" s="124" t="s">
        <v>679</v>
      </c>
      <c r="B35" s="354" t="s">
        <v>680</v>
      </c>
      <c r="C35" s="355"/>
      <c r="D35" s="355" t="s">
        <v>80</v>
      </c>
      <c r="E35" s="356" t="s">
        <v>633</v>
      </c>
      <c r="G35" s="566">
        <v>4.0000000000000001E-3</v>
      </c>
      <c r="H35" s="565"/>
      <c r="I35" s="593"/>
      <c r="J35" s="593"/>
      <c r="K35" s="593"/>
      <c r="L35" s="565"/>
      <c r="M35" s="593"/>
      <c r="N35" s="565"/>
      <c r="O35" s="565"/>
      <c r="P35" s="565"/>
      <c r="Q35" s="566">
        <v>0</v>
      </c>
      <c r="R35" s="565"/>
      <c r="S35" s="569">
        <v>0</v>
      </c>
      <c r="T35" s="570">
        <v>0</v>
      </c>
      <c r="U35" s="743">
        <f t="shared" si="4"/>
        <v>0</v>
      </c>
      <c r="V35" s="565"/>
      <c r="W35" s="734">
        <f t="shared" si="5"/>
        <v>0</v>
      </c>
      <c r="X35" s="565"/>
      <c r="Y35" s="744">
        <f t="shared" si="6"/>
        <v>4.0000000000000001E-3</v>
      </c>
      <c r="Z35" s="601" t="s">
        <v>634</v>
      </c>
    </row>
    <row r="36" spans="1:26">
      <c r="A36" s="123" t="s">
        <v>681</v>
      </c>
      <c r="B36" s="354" t="s">
        <v>682</v>
      </c>
      <c r="C36" s="355"/>
      <c r="D36" s="355" t="s">
        <v>80</v>
      </c>
      <c r="E36" s="356" t="s">
        <v>633</v>
      </c>
      <c r="G36" s="566">
        <v>0</v>
      </c>
      <c r="H36" s="565"/>
      <c r="I36" s="593"/>
      <c r="J36" s="593"/>
      <c r="K36" s="593"/>
      <c r="L36" s="565"/>
      <c r="M36" s="593"/>
      <c r="N36" s="565"/>
      <c r="O36" s="565"/>
      <c r="P36" s="565"/>
      <c r="Q36" s="566">
        <v>0</v>
      </c>
      <c r="R36" s="565"/>
      <c r="S36" s="569">
        <v>0</v>
      </c>
      <c r="T36" s="570">
        <v>0</v>
      </c>
      <c r="U36" s="743">
        <f t="shared" si="4"/>
        <v>0</v>
      </c>
      <c r="V36" s="565"/>
      <c r="W36" s="734">
        <f t="shared" si="5"/>
        <v>0</v>
      </c>
      <c r="X36" s="565"/>
      <c r="Y36" s="744">
        <f t="shared" si="6"/>
        <v>0</v>
      </c>
      <c r="Z36" s="603" t="s">
        <v>634</v>
      </c>
    </row>
    <row r="37" spans="1:26">
      <c r="A37" s="123" t="s">
        <v>683</v>
      </c>
      <c r="B37" s="354" t="s">
        <v>684</v>
      </c>
      <c r="C37" s="355"/>
      <c r="D37" s="355" t="s">
        <v>80</v>
      </c>
      <c r="E37" s="356" t="s">
        <v>633</v>
      </c>
      <c r="G37" s="566">
        <v>0</v>
      </c>
      <c r="H37" s="565"/>
      <c r="I37" s="593"/>
      <c r="J37" s="593"/>
      <c r="K37" s="593"/>
      <c r="L37" s="565"/>
      <c r="M37" s="593"/>
      <c r="N37" s="565"/>
      <c r="O37" s="565"/>
      <c r="P37" s="565"/>
      <c r="Q37" s="566">
        <v>0</v>
      </c>
      <c r="R37" s="565"/>
      <c r="S37" s="569">
        <v>0</v>
      </c>
      <c r="T37" s="570">
        <v>0</v>
      </c>
      <c r="U37" s="743">
        <f t="shared" si="4"/>
        <v>0</v>
      </c>
      <c r="V37" s="565"/>
      <c r="W37" s="734">
        <f t="shared" si="5"/>
        <v>0</v>
      </c>
      <c r="X37" s="565"/>
      <c r="Y37" s="744">
        <f t="shared" si="6"/>
        <v>0</v>
      </c>
      <c r="Z37" s="603" t="s">
        <v>634</v>
      </c>
    </row>
    <row r="38" spans="1:26">
      <c r="A38" s="124" t="s">
        <v>685</v>
      </c>
      <c r="B38" s="354" t="s">
        <v>686</v>
      </c>
      <c r="C38" s="355"/>
      <c r="D38" s="355" t="s">
        <v>80</v>
      </c>
      <c r="E38" s="356" t="s">
        <v>633</v>
      </c>
      <c r="G38" s="566">
        <v>0</v>
      </c>
      <c r="H38" s="565"/>
      <c r="I38" s="593"/>
      <c r="J38" s="593"/>
      <c r="K38" s="593"/>
      <c r="L38" s="565"/>
      <c r="M38" s="593"/>
      <c r="N38" s="565"/>
      <c r="O38" s="565"/>
      <c r="P38" s="565"/>
      <c r="Q38" s="566">
        <v>0</v>
      </c>
      <c r="R38" s="565"/>
      <c r="S38" s="569">
        <v>0</v>
      </c>
      <c r="T38" s="570">
        <v>0</v>
      </c>
      <c r="U38" s="743">
        <f t="shared" si="4"/>
        <v>0</v>
      </c>
      <c r="V38" s="565"/>
      <c r="W38" s="734">
        <f t="shared" si="5"/>
        <v>0</v>
      </c>
      <c r="X38" s="565"/>
      <c r="Y38" s="744">
        <f t="shared" si="6"/>
        <v>0</v>
      </c>
      <c r="Z38" s="601" t="s">
        <v>634</v>
      </c>
    </row>
    <row r="39" spans="1:26">
      <c r="A39" s="124" t="s">
        <v>687</v>
      </c>
      <c r="B39" s="354" t="s">
        <v>688</v>
      </c>
      <c r="C39" s="355"/>
      <c r="D39" s="355" t="s">
        <v>80</v>
      </c>
      <c r="E39" s="356" t="s">
        <v>633</v>
      </c>
      <c r="G39" s="566">
        <v>4.0000000000000001E-3</v>
      </c>
      <c r="H39" s="565"/>
      <c r="I39" s="593"/>
      <c r="J39" s="593"/>
      <c r="K39" s="593"/>
      <c r="L39" s="565"/>
      <c r="M39" s="593"/>
      <c r="N39" s="565"/>
      <c r="O39" s="565"/>
      <c r="P39" s="565"/>
      <c r="Q39" s="566">
        <v>0.19900000000000001</v>
      </c>
      <c r="R39" s="565"/>
      <c r="S39" s="569">
        <v>0</v>
      </c>
      <c r="T39" s="570">
        <v>0</v>
      </c>
      <c r="U39" s="743">
        <f t="shared" si="4"/>
        <v>0</v>
      </c>
      <c r="V39" s="565"/>
      <c r="W39" s="734">
        <f t="shared" si="5"/>
        <v>0.19900000000000001</v>
      </c>
      <c r="X39" s="565"/>
      <c r="Y39" s="744">
        <f t="shared" si="6"/>
        <v>0.20300000000000001</v>
      </c>
      <c r="Z39" s="601" t="s">
        <v>634</v>
      </c>
    </row>
    <row r="40" spans="1:26">
      <c r="A40" s="124" t="s">
        <v>689</v>
      </c>
      <c r="B40" s="354" t="s">
        <v>690</v>
      </c>
      <c r="C40" s="355"/>
      <c r="D40" s="355" t="s">
        <v>80</v>
      </c>
      <c r="E40" s="356" t="s">
        <v>633</v>
      </c>
      <c r="G40" s="566">
        <v>0</v>
      </c>
      <c r="H40" s="565"/>
      <c r="I40" s="593"/>
      <c r="J40" s="593"/>
      <c r="K40" s="593"/>
      <c r="L40" s="565"/>
      <c r="M40" s="593"/>
      <c r="N40" s="565"/>
      <c r="O40" s="565"/>
      <c r="P40" s="565"/>
      <c r="Q40" s="566">
        <v>0</v>
      </c>
      <c r="R40" s="565"/>
      <c r="S40" s="569">
        <v>0</v>
      </c>
      <c r="T40" s="570">
        <v>0</v>
      </c>
      <c r="U40" s="743">
        <f t="shared" si="4"/>
        <v>0</v>
      </c>
      <c r="V40" s="565"/>
      <c r="W40" s="734">
        <f t="shared" si="5"/>
        <v>0</v>
      </c>
      <c r="X40" s="565"/>
      <c r="Y40" s="744">
        <f t="shared" si="6"/>
        <v>0</v>
      </c>
      <c r="Z40" s="601" t="s">
        <v>634</v>
      </c>
    </row>
    <row r="41" spans="1:26">
      <c r="A41" s="124" t="s">
        <v>691</v>
      </c>
      <c r="B41" s="354" t="s">
        <v>692</v>
      </c>
      <c r="C41" s="355"/>
      <c r="D41" s="355" t="s">
        <v>80</v>
      </c>
      <c r="E41" s="356" t="s">
        <v>633</v>
      </c>
      <c r="G41" s="566">
        <v>0</v>
      </c>
      <c r="H41" s="565"/>
      <c r="I41" s="593"/>
      <c r="J41" s="593"/>
      <c r="K41" s="593"/>
      <c r="L41" s="565"/>
      <c r="M41" s="593"/>
      <c r="N41" s="565"/>
      <c r="O41" s="565"/>
      <c r="P41" s="565"/>
      <c r="Q41" s="566">
        <v>0</v>
      </c>
      <c r="R41" s="565"/>
      <c r="S41" s="569">
        <v>0</v>
      </c>
      <c r="T41" s="570">
        <v>0</v>
      </c>
      <c r="U41" s="743">
        <f t="shared" si="4"/>
        <v>0</v>
      </c>
      <c r="V41" s="565"/>
      <c r="W41" s="734">
        <f t="shared" si="5"/>
        <v>0</v>
      </c>
      <c r="X41" s="565"/>
      <c r="Y41" s="744">
        <f t="shared" si="6"/>
        <v>0</v>
      </c>
      <c r="Z41" s="601" t="s">
        <v>634</v>
      </c>
    </row>
    <row r="42" spans="1:26">
      <c r="A42" s="124" t="s">
        <v>693</v>
      </c>
      <c r="B42" s="354" t="s">
        <v>694</v>
      </c>
      <c r="C42" s="355"/>
      <c r="D42" s="355" t="s">
        <v>80</v>
      </c>
      <c r="E42" s="356" t="s">
        <v>633</v>
      </c>
      <c r="G42" s="566">
        <v>0</v>
      </c>
      <c r="H42" s="565"/>
      <c r="I42" s="593"/>
      <c r="J42" s="593"/>
      <c r="K42" s="593"/>
      <c r="L42" s="565"/>
      <c r="M42" s="593"/>
      <c r="N42" s="565"/>
      <c r="O42" s="565"/>
      <c r="P42" s="565"/>
      <c r="Q42" s="566">
        <v>2.5870000000000002</v>
      </c>
      <c r="R42" s="565"/>
      <c r="S42" s="569">
        <v>0.71299999999999997</v>
      </c>
      <c r="T42" s="570">
        <v>0.13100000000000001</v>
      </c>
      <c r="U42" s="743">
        <f t="shared" si="4"/>
        <v>0.84399999999999997</v>
      </c>
      <c r="V42" s="565"/>
      <c r="W42" s="734">
        <f t="shared" si="5"/>
        <v>3.431</v>
      </c>
      <c r="X42" s="565"/>
      <c r="Y42" s="744">
        <f t="shared" si="6"/>
        <v>3.431</v>
      </c>
      <c r="Z42" s="601" t="s">
        <v>634</v>
      </c>
    </row>
    <row r="43" spans="1:26" ht="13" thickBot="1">
      <c r="A43" s="124" t="s">
        <v>695</v>
      </c>
      <c r="B43" s="354" t="s">
        <v>696</v>
      </c>
      <c r="C43" s="355" t="s">
        <v>656</v>
      </c>
      <c r="D43" s="355" t="s">
        <v>80</v>
      </c>
      <c r="E43" s="356" t="s">
        <v>633</v>
      </c>
      <c r="G43" s="581">
        <v>0</v>
      </c>
      <c r="H43" s="565"/>
      <c r="I43" s="593"/>
      <c r="J43" s="593"/>
      <c r="K43" s="593"/>
      <c r="L43" s="565"/>
      <c r="M43" s="593"/>
      <c r="N43" s="565"/>
      <c r="O43" s="565"/>
      <c r="P43" s="565"/>
      <c r="Q43" s="581">
        <v>9.2999999999999999E-2</v>
      </c>
      <c r="R43" s="565"/>
      <c r="S43" s="574">
        <v>1.0999999999999999E-2</v>
      </c>
      <c r="T43" s="571">
        <v>1E-3</v>
      </c>
      <c r="U43" s="745">
        <f t="shared" si="4"/>
        <v>1.2E-2</v>
      </c>
      <c r="V43" s="565"/>
      <c r="W43" s="738">
        <f t="shared" si="5"/>
        <v>0.105</v>
      </c>
      <c r="X43" s="565"/>
      <c r="Y43" s="746">
        <f t="shared" si="6"/>
        <v>0.105</v>
      </c>
      <c r="Z43" s="604" t="s">
        <v>634</v>
      </c>
    </row>
    <row r="44" spans="1:26" ht="13" thickBot="1">
      <c r="A44" s="124"/>
      <c r="B44" s="354"/>
      <c r="C44" s="355"/>
      <c r="D44" s="355"/>
      <c r="E44" s="356"/>
      <c r="G44" s="565"/>
      <c r="H44" s="565"/>
      <c r="I44" s="593"/>
      <c r="J44" s="593"/>
      <c r="K44" s="593"/>
      <c r="L44" s="565"/>
      <c r="M44" s="593"/>
      <c r="N44" s="565"/>
      <c r="O44" s="565"/>
      <c r="P44" s="565"/>
      <c r="Q44" s="565"/>
      <c r="R44" s="565"/>
      <c r="S44" s="565"/>
      <c r="T44" s="565"/>
      <c r="U44" s="565"/>
      <c r="V44" s="565"/>
      <c r="W44" s="565"/>
      <c r="X44" s="565"/>
      <c r="Y44" s="565"/>
      <c r="Z44" s="605"/>
    </row>
    <row r="45" spans="1:26" ht="13">
      <c r="A45" s="123" t="s">
        <v>697</v>
      </c>
      <c r="B45" s="77" t="s">
        <v>698</v>
      </c>
      <c r="C45" s="78"/>
      <c r="D45" s="78" t="s">
        <v>80</v>
      </c>
      <c r="E45" s="79" t="s">
        <v>633</v>
      </c>
      <c r="G45" s="565"/>
      <c r="H45" s="565"/>
      <c r="I45" s="593"/>
      <c r="J45" s="593"/>
      <c r="K45" s="593"/>
      <c r="L45" s="565"/>
      <c r="M45" s="593"/>
      <c r="N45" s="565"/>
      <c r="O45" s="565"/>
      <c r="P45" s="565"/>
      <c r="Q45" s="580">
        <v>3.0350000000000001</v>
      </c>
      <c r="R45" s="565"/>
      <c r="S45" s="567">
        <v>2.1840000000000002</v>
      </c>
      <c r="T45" s="568">
        <v>0.40200000000000002</v>
      </c>
      <c r="U45" s="741">
        <f>S45+T45</f>
        <v>2.5860000000000003</v>
      </c>
      <c r="V45" s="565"/>
      <c r="W45" s="565"/>
      <c r="X45" s="565"/>
      <c r="Y45" s="565"/>
      <c r="Z45" s="605"/>
    </row>
    <row r="46" spans="1:26" ht="13.5" thickBot="1">
      <c r="A46" s="123" t="s">
        <v>699</v>
      </c>
      <c r="B46" s="77" t="s">
        <v>700</v>
      </c>
      <c r="C46" s="78"/>
      <c r="D46" s="78" t="s">
        <v>80</v>
      </c>
      <c r="E46" s="79" t="s">
        <v>701</v>
      </c>
      <c r="G46" s="565"/>
      <c r="H46" s="565"/>
      <c r="I46" s="593"/>
      <c r="J46" s="593"/>
      <c r="K46" s="593"/>
      <c r="L46" s="565"/>
      <c r="M46" s="593"/>
      <c r="N46" s="565"/>
      <c r="O46" s="565"/>
      <c r="P46" s="565"/>
      <c r="Q46" s="597">
        <v>0.747</v>
      </c>
      <c r="R46" s="565"/>
      <c r="S46" s="574">
        <v>0.38900000000000001</v>
      </c>
      <c r="T46" s="571">
        <v>7.4999999999999997E-2</v>
      </c>
      <c r="U46" s="745">
        <f>S46+T46</f>
        <v>0.46400000000000002</v>
      </c>
      <c r="V46" s="565"/>
      <c r="W46" s="565"/>
      <c r="X46" s="565"/>
      <c r="Y46" s="565"/>
      <c r="Z46" s="605"/>
    </row>
    <row r="47" spans="1:26" ht="13.5" thickBot="1">
      <c r="A47" s="129"/>
      <c r="B47" s="80"/>
      <c r="C47" s="155"/>
      <c r="D47" s="81"/>
      <c r="E47" s="82"/>
      <c r="G47" s="565"/>
      <c r="H47" s="565"/>
      <c r="I47" s="593"/>
      <c r="J47" s="593"/>
      <c r="K47" s="593"/>
      <c r="L47" s="565"/>
      <c r="M47" s="593"/>
      <c r="N47" s="565"/>
      <c r="O47" s="565"/>
      <c r="P47" s="565"/>
      <c r="Q47" s="565"/>
      <c r="R47" s="565"/>
      <c r="S47" s="565"/>
      <c r="T47" s="565"/>
      <c r="U47" s="565"/>
      <c r="V47" s="565"/>
      <c r="W47" s="565"/>
      <c r="X47" s="565"/>
      <c r="Y47" s="565"/>
      <c r="Z47" s="605"/>
    </row>
    <row r="48" spans="1:26" ht="13" thickBot="1">
      <c r="A48" s="361"/>
      <c r="B48" s="362"/>
      <c r="C48" s="240"/>
      <c r="G48" s="565"/>
      <c r="H48" s="565"/>
      <c r="I48" s="593"/>
      <c r="J48" s="593"/>
      <c r="K48" s="593"/>
      <c r="L48" s="565"/>
      <c r="M48" s="593"/>
      <c r="N48" s="565"/>
      <c r="O48" s="565"/>
      <c r="P48" s="565"/>
      <c r="Q48" s="565"/>
      <c r="R48" s="565"/>
      <c r="S48" s="565"/>
      <c r="T48" s="565"/>
      <c r="U48" s="565"/>
      <c r="V48" s="565"/>
      <c r="W48" s="565"/>
      <c r="X48" s="565"/>
      <c r="Y48" s="565"/>
      <c r="Z48" s="605"/>
    </row>
    <row r="49" spans="1:26" ht="13.5" thickBot="1">
      <c r="A49" s="125" t="s">
        <v>702</v>
      </c>
      <c r="B49" s="83" t="s">
        <v>703</v>
      </c>
      <c r="C49" s="352" t="s">
        <v>704</v>
      </c>
      <c r="D49" s="352" t="s">
        <v>80</v>
      </c>
      <c r="E49" s="353" t="s">
        <v>100</v>
      </c>
      <c r="G49" s="747">
        <f>SUM(G14:G19)+G22+SUM(G24:G43)</f>
        <v>6.4159999999999995</v>
      </c>
      <c r="H49" s="565"/>
      <c r="I49" s="732">
        <f>SUM(I14:I19)+I22</f>
        <v>6.9919999999999991</v>
      </c>
      <c r="J49" s="748">
        <f>SUM(J14:J19)+J22</f>
        <v>44.628</v>
      </c>
      <c r="K49" s="741">
        <f>SUM(K14:K19)+K22</f>
        <v>51.620000000000005</v>
      </c>
      <c r="L49" s="565"/>
      <c r="M49" s="731">
        <f>SUM(M14:M19)+M21+M22</f>
        <v>56.023999999999994</v>
      </c>
      <c r="N49" s="565"/>
      <c r="O49" s="731">
        <f>SUM(O14:O22)</f>
        <v>107.64400000000001</v>
      </c>
      <c r="P49" s="565"/>
      <c r="Q49" s="749">
        <f>SUM(Q24:Q43)</f>
        <v>12.837999999999999</v>
      </c>
      <c r="R49" s="565"/>
      <c r="S49" s="742">
        <f>SUM(S24:S43)</f>
        <v>2.1100000000000003</v>
      </c>
      <c r="T49" s="750">
        <f>SUM(T24:T43)</f>
        <v>0.38700000000000001</v>
      </c>
      <c r="U49" s="730">
        <f>S49+T49</f>
        <v>2.4970000000000003</v>
      </c>
      <c r="V49" s="565"/>
      <c r="W49" s="731">
        <f>U49+Q49+O49</f>
        <v>122.979</v>
      </c>
      <c r="X49" s="565"/>
      <c r="Y49" s="742">
        <f>W49+G49</f>
        <v>129.39500000000001</v>
      </c>
      <c r="Z49" s="600" t="s">
        <v>634</v>
      </c>
    </row>
    <row r="50" spans="1:26" ht="13.5" thickBot="1">
      <c r="A50" s="126" t="s">
        <v>705</v>
      </c>
      <c r="B50" s="363" t="s">
        <v>706</v>
      </c>
      <c r="C50" s="358" t="s">
        <v>707</v>
      </c>
      <c r="D50" s="358" t="s">
        <v>80</v>
      </c>
      <c r="E50" s="359" t="s">
        <v>633</v>
      </c>
      <c r="G50" s="579">
        <v>0.996</v>
      </c>
      <c r="H50" s="565"/>
      <c r="I50" s="585">
        <v>0.54100000000000004</v>
      </c>
      <c r="J50" s="586">
        <v>9.7170000000000005</v>
      </c>
      <c r="K50" s="751">
        <f>I50+J50</f>
        <v>10.258000000000001</v>
      </c>
      <c r="L50" s="578"/>
      <c r="M50" s="587">
        <v>16.329000000000001</v>
      </c>
      <c r="N50" s="565"/>
      <c r="O50" s="738">
        <f>K50+M50</f>
        <v>26.587000000000003</v>
      </c>
      <c r="P50" s="565"/>
      <c r="Q50" s="575">
        <v>1.579</v>
      </c>
      <c r="R50" s="565"/>
      <c r="S50" s="576">
        <v>0.60199999999999998</v>
      </c>
      <c r="T50" s="577">
        <v>0.107</v>
      </c>
      <c r="U50" s="736">
        <f>S50+T50</f>
        <v>0.70899999999999996</v>
      </c>
      <c r="V50" s="565"/>
      <c r="W50" s="738">
        <f>U50+Q50+O50</f>
        <v>28.875000000000004</v>
      </c>
      <c r="X50" s="565"/>
      <c r="Y50" s="746">
        <f>W50+G50</f>
        <v>29.871000000000002</v>
      </c>
      <c r="Z50" s="602" t="s">
        <v>634</v>
      </c>
    </row>
    <row r="51" spans="1:26" ht="13.5" thickBot="1">
      <c r="A51" s="364"/>
      <c r="B51" s="365"/>
      <c r="C51" s="362"/>
      <c r="G51" s="565"/>
      <c r="H51" s="565"/>
      <c r="I51" s="565"/>
      <c r="J51" s="565"/>
      <c r="K51" s="565"/>
      <c r="L51" s="578"/>
      <c r="M51" s="565"/>
      <c r="N51" s="565"/>
      <c r="O51" s="565"/>
      <c r="P51" s="565"/>
      <c r="Q51" s="565"/>
      <c r="R51" s="565"/>
      <c r="S51" s="565"/>
      <c r="T51" s="565"/>
      <c r="U51" s="565"/>
      <c r="V51" s="565"/>
      <c r="W51" s="565"/>
      <c r="X51" s="565"/>
      <c r="Y51" s="565"/>
      <c r="Z51" s="664"/>
    </row>
    <row r="52" spans="1:26" ht="13.5" thickBot="1">
      <c r="A52" s="127" t="s">
        <v>708</v>
      </c>
      <c r="B52" s="84" t="s">
        <v>709</v>
      </c>
      <c r="C52" s="366" t="s">
        <v>710</v>
      </c>
      <c r="D52" s="366" t="s">
        <v>80</v>
      </c>
      <c r="E52" s="367" t="s">
        <v>100</v>
      </c>
      <c r="G52" s="747">
        <f>G49+G50</f>
        <v>7.411999999999999</v>
      </c>
      <c r="H52" s="565"/>
      <c r="I52" s="752">
        <f>I49+I50</f>
        <v>7.5329999999999995</v>
      </c>
      <c r="J52" s="753">
        <f>J49+J50</f>
        <v>54.344999999999999</v>
      </c>
      <c r="K52" s="754">
        <f>K49+K50</f>
        <v>61.878000000000007</v>
      </c>
      <c r="L52" s="578"/>
      <c r="M52" s="755">
        <f>M49+M50</f>
        <v>72.352999999999994</v>
      </c>
      <c r="N52" s="565"/>
      <c r="O52" s="747">
        <f>O49+O50</f>
        <v>134.23099999999999</v>
      </c>
      <c r="P52" s="565"/>
      <c r="Q52" s="756">
        <f>Q49+Q50</f>
        <v>14.417</v>
      </c>
      <c r="R52" s="565"/>
      <c r="S52" s="752">
        <f>S49+S50</f>
        <v>2.7120000000000002</v>
      </c>
      <c r="T52" s="753">
        <f>T49+T50</f>
        <v>0.49399999999999999</v>
      </c>
      <c r="U52" s="754">
        <f>S52+T52</f>
        <v>3.2060000000000004</v>
      </c>
      <c r="V52" s="565"/>
      <c r="W52" s="747">
        <f>U52+Q52+O52</f>
        <v>151.85399999999998</v>
      </c>
      <c r="X52" s="565"/>
      <c r="Y52" s="757">
        <f>W52+G52</f>
        <v>159.26599999999999</v>
      </c>
      <c r="Z52" s="606" t="s">
        <v>634</v>
      </c>
    </row>
    <row r="53" spans="1:26" ht="13.5" thickBot="1">
      <c r="A53" s="368"/>
      <c r="B53" s="362"/>
      <c r="C53" s="240"/>
      <c r="D53" s="240"/>
      <c r="E53" s="369"/>
      <c r="G53" s="565"/>
      <c r="H53" s="565"/>
      <c r="I53" s="565"/>
      <c r="J53" s="565"/>
      <c r="K53" s="565"/>
      <c r="L53" s="578"/>
      <c r="M53" s="565"/>
      <c r="N53" s="565"/>
      <c r="O53" s="565"/>
      <c r="P53" s="565"/>
      <c r="Q53" s="565"/>
      <c r="R53" s="565"/>
      <c r="S53" s="565"/>
      <c r="T53" s="565"/>
      <c r="U53" s="565"/>
      <c r="V53" s="565"/>
      <c r="W53" s="565"/>
      <c r="X53" s="565"/>
      <c r="Y53" s="565"/>
      <c r="Z53" s="605"/>
    </row>
    <row r="54" spans="1:26" ht="13.5" thickBot="1">
      <c r="A54" s="370"/>
      <c r="B54" s="371" t="s">
        <v>711</v>
      </c>
      <c r="C54" s="372"/>
      <c r="D54" s="373"/>
      <c r="E54" s="374"/>
      <c r="G54" s="565"/>
      <c r="H54" s="565"/>
      <c r="I54" s="565"/>
      <c r="J54" s="565"/>
      <c r="K54" s="565"/>
      <c r="L54" s="578"/>
      <c r="M54" s="578"/>
      <c r="N54" s="565"/>
      <c r="O54" s="565"/>
      <c r="P54" s="565"/>
      <c r="Q54" s="565"/>
      <c r="R54" s="565"/>
      <c r="S54" s="565"/>
      <c r="T54" s="565"/>
      <c r="U54" s="565"/>
      <c r="V54" s="565"/>
      <c r="W54" s="565"/>
      <c r="X54" s="565"/>
      <c r="Y54" s="578"/>
      <c r="Z54" s="578"/>
    </row>
    <row r="55" spans="1:26" ht="13.5" thickBot="1">
      <c r="A55" s="128" t="s">
        <v>712</v>
      </c>
      <c r="B55" s="351" t="s">
        <v>713</v>
      </c>
      <c r="C55" s="352" t="s">
        <v>714</v>
      </c>
      <c r="D55" s="352" t="s">
        <v>80</v>
      </c>
      <c r="E55" s="353" t="s">
        <v>237</v>
      </c>
      <c r="G55" s="579">
        <v>0.74199999999999999</v>
      </c>
      <c r="H55" s="565"/>
      <c r="I55" s="565"/>
      <c r="J55" s="565"/>
      <c r="K55" s="579">
        <v>6.4160000000000004</v>
      </c>
      <c r="L55" s="578"/>
      <c r="M55" s="579">
        <v>10.41</v>
      </c>
      <c r="N55" s="565"/>
      <c r="O55" s="731">
        <f>K55+M55</f>
        <v>16.826000000000001</v>
      </c>
      <c r="P55" s="565"/>
      <c r="Q55" s="580">
        <v>0</v>
      </c>
      <c r="R55" s="565"/>
      <c r="S55" s="565"/>
      <c r="T55" s="565"/>
      <c r="U55" s="580">
        <v>0</v>
      </c>
      <c r="V55" s="565"/>
      <c r="W55" s="731">
        <f>U55+Q55+O55</f>
        <v>16.826000000000001</v>
      </c>
      <c r="X55" s="565"/>
      <c r="Y55" s="758">
        <f>W55+G55</f>
        <v>17.568000000000001</v>
      </c>
      <c r="Z55" s="607" t="s">
        <v>634</v>
      </c>
    </row>
    <row r="56" spans="1:26" ht="13.5" thickBot="1">
      <c r="A56" s="124" t="s">
        <v>715</v>
      </c>
      <c r="B56" s="354" t="s">
        <v>716</v>
      </c>
      <c r="C56" s="355" t="s">
        <v>717</v>
      </c>
      <c r="D56" s="355" t="s">
        <v>80</v>
      </c>
      <c r="E56" s="356" t="s">
        <v>237</v>
      </c>
      <c r="G56" s="593"/>
      <c r="H56" s="565"/>
      <c r="I56" s="593"/>
      <c r="J56" s="593"/>
      <c r="K56" s="565"/>
      <c r="L56" s="578"/>
      <c r="M56" s="565"/>
      <c r="N56" s="565"/>
      <c r="O56" s="566">
        <v>4.0810000000000004</v>
      </c>
      <c r="P56" s="565"/>
      <c r="Q56" s="594">
        <v>0.28999999999999998</v>
      </c>
      <c r="R56" s="565"/>
      <c r="S56" s="593"/>
      <c r="T56" s="593"/>
      <c r="U56" s="595">
        <v>0.50600000000000001</v>
      </c>
      <c r="V56" s="593"/>
      <c r="W56" s="759">
        <f>U56+Q56+O56</f>
        <v>4.8770000000000007</v>
      </c>
      <c r="X56" s="565"/>
      <c r="Y56" s="744">
        <f>W56</f>
        <v>4.8770000000000007</v>
      </c>
      <c r="Z56" s="603" t="s">
        <v>634</v>
      </c>
    </row>
    <row r="57" spans="1:26" ht="13.5" thickBot="1">
      <c r="A57" s="129" t="s">
        <v>718</v>
      </c>
      <c r="B57" s="85" t="s">
        <v>719</v>
      </c>
      <c r="C57" s="358" t="s">
        <v>720</v>
      </c>
      <c r="D57" s="358" t="s">
        <v>80</v>
      </c>
      <c r="E57" s="359" t="s">
        <v>100</v>
      </c>
      <c r="G57" s="747">
        <f>G55</f>
        <v>0.74199999999999999</v>
      </c>
      <c r="H57" s="565"/>
      <c r="I57" s="565"/>
      <c r="J57" s="565"/>
      <c r="K57" s="747">
        <f>K55</f>
        <v>6.4160000000000004</v>
      </c>
      <c r="L57" s="578"/>
      <c r="M57" s="760">
        <f>M55</f>
        <v>10.41</v>
      </c>
      <c r="N57" s="565"/>
      <c r="O57" s="738">
        <f>O55+O56</f>
        <v>20.907</v>
      </c>
      <c r="P57" s="565"/>
      <c r="Q57" s="738">
        <f>Q55+Q56</f>
        <v>0.28999999999999998</v>
      </c>
      <c r="R57" s="565"/>
      <c r="S57" s="565"/>
      <c r="T57" s="565"/>
      <c r="U57" s="738">
        <f>U55+U56</f>
        <v>0.50600000000000001</v>
      </c>
      <c r="V57" s="565"/>
      <c r="W57" s="738">
        <f>U57+Q57+O57</f>
        <v>21.702999999999999</v>
      </c>
      <c r="X57" s="565"/>
      <c r="Y57" s="739">
        <f>W57+G57</f>
        <v>22.445</v>
      </c>
      <c r="Z57" s="604" t="s">
        <v>634</v>
      </c>
    </row>
    <row r="58" spans="1:26" ht="13.5" thickBot="1">
      <c r="A58" s="375"/>
      <c r="B58" s="376"/>
      <c r="C58" s="362"/>
      <c r="G58" s="565"/>
      <c r="H58" s="565"/>
      <c r="I58" s="565"/>
      <c r="J58" s="565"/>
      <c r="K58" s="565"/>
      <c r="L58" s="578"/>
      <c r="M58" s="565"/>
      <c r="N58" s="565"/>
      <c r="O58" s="565"/>
      <c r="P58" s="565"/>
      <c r="Q58" s="565"/>
      <c r="R58" s="565"/>
      <c r="S58" s="565"/>
      <c r="T58" s="565"/>
      <c r="U58" s="565"/>
      <c r="V58" s="565"/>
      <c r="W58" s="761"/>
      <c r="X58" s="565"/>
      <c r="Y58" s="565"/>
      <c r="Z58" s="608"/>
    </row>
    <row r="59" spans="1:26" ht="13" thickBot="1">
      <c r="A59" s="122" t="s">
        <v>721</v>
      </c>
      <c r="B59" s="351" t="s">
        <v>722</v>
      </c>
      <c r="C59" s="352" t="s">
        <v>723</v>
      </c>
      <c r="D59" s="352" t="s">
        <v>80</v>
      </c>
      <c r="E59" s="353" t="s">
        <v>237</v>
      </c>
      <c r="G59" s="580">
        <v>0.10100000000000001</v>
      </c>
      <c r="H59" s="565"/>
      <c r="I59" s="565"/>
      <c r="J59" s="565"/>
      <c r="K59" s="579">
        <v>21.408000000000001</v>
      </c>
      <c r="L59" s="565"/>
      <c r="M59" s="579">
        <v>26.471</v>
      </c>
      <c r="N59" s="565"/>
      <c r="O59" s="731">
        <f>K59+M59</f>
        <v>47.879000000000005</v>
      </c>
      <c r="P59" s="565"/>
      <c r="Q59" s="580">
        <v>8.0000000000000002E-3</v>
      </c>
      <c r="R59" s="565"/>
      <c r="S59" s="565"/>
      <c r="T59" s="565"/>
      <c r="U59" s="580">
        <v>1E-3</v>
      </c>
      <c r="V59" s="565"/>
      <c r="W59" s="731">
        <f>U59+Q59+O59</f>
        <v>47.888000000000005</v>
      </c>
      <c r="X59" s="565"/>
      <c r="Y59" s="758">
        <f>W59+G59</f>
        <v>47.989000000000004</v>
      </c>
      <c r="Z59" s="607" t="s">
        <v>634</v>
      </c>
    </row>
    <row r="60" spans="1:26" ht="13.5" thickBot="1">
      <c r="A60" s="129" t="s">
        <v>724</v>
      </c>
      <c r="B60" s="357" t="s">
        <v>725</v>
      </c>
      <c r="C60" s="358" t="s">
        <v>726</v>
      </c>
      <c r="D60" s="358" t="s">
        <v>80</v>
      </c>
      <c r="E60" s="359" t="s">
        <v>237</v>
      </c>
      <c r="G60" s="581">
        <v>0</v>
      </c>
      <c r="H60" s="565"/>
      <c r="I60" s="565"/>
      <c r="J60" s="565"/>
      <c r="K60" s="565"/>
      <c r="L60" s="578"/>
      <c r="M60" s="565"/>
      <c r="N60" s="565"/>
      <c r="O60" s="581">
        <v>0</v>
      </c>
      <c r="P60" s="565"/>
      <c r="Q60" s="581">
        <v>8.75</v>
      </c>
      <c r="R60" s="565"/>
      <c r="S60" s="598">
        <v>6.0000000000000001E-3</v>
      </c>
      <c r="T60" s="596">
        <v>1E-3</v>
      </c>
      <c r="U60" s="745">
        <f>S60+T60</f>
        <v>7.0000000000000001E-3</v>
      </c>
      <c r="V60" s="565"/>
      <c r="W60" s="738">
        <f>U60+Q60+O60</f>
        <v>8.7569999999999997</v>
      </c>
      <c r="X60" s="565"/>
      <c r="Y60" s="762">
        <f>W60+G60</f>
        <v>8.7569999999999997</v>
      </c>
      <c r="Z60" s="604" t="s">
        <v>634</v>
      </c>
    </row>
    <row r="61" spans="1:26" ht="13.5" thickBot="1">
      <c r="A61" s="377"/>
      <c r="B61" s="362"/>
      <c r="D61" s="240"/>
      <c r="E61" s="240"/>
      <c r="G61" s="565"/>
      <c r="H61" s="565"/>
      <c r="I61" s="565"/>
      <c r="J61" s="565"/>
      <c r="K61" s="565"/>
      <c r="L61" s="578"/>
      <c r="M61" s="578"/>
      <c r="N61" s="565"/>
      <c r="O61" s="565"/>
      <c r="P61" s="565"/>
      <c r="Q61" s="565"/>
      <c r="R61" s="565"/>
      <c r="S61" s="565"/>
      <c r="T61" s="565"/>
      <c r="U61" s="565"/>
      <c r="V61" s="565"/>
      <c r="W61" s="565"/>
      <c r="X61" s="565"/>
      <c r="Y61" s="565"/>
      <c r="Z61" s="608"/>
    </row>
    <row r="62" spans="1:26" ht="13.5" thickBot="1">
      <c r="A62" s="156" t="s">
        <v>727</v>
      </c>
      <c r="B62" s="378" t="s">
        <v>728</v>
      </c>
      <c r="C62" s="379" t="s">
        <v>729</v>
      </c>
      <c r="D62" s="379" t="s">
        <v>80</v>
      </c>
      <c r="E62" s="380" t="s">
        <v>633</v>
      </c>
      <c r="G62" s="579">
        <v>0</v>
      </c>
      <c r="H62" s="565"/>
      <c r="I62" s="565"/>
      <c r="J62" s="565"/>
      <c r="K62" s="579">
        <v>0</v>
      </c>
      <c r="L62" s="578"/>
      <c r="M62" s="598">
        <v>0</v>
      </c>
      <c r="N62" s="565"/>
      <c r="O62" s="747">
        <f>K62+M62</f>
        <v>0</v>
      </c>
      <c r="P62" s="565"/>
      <c r="Q62" s="579">
        <v>0</v>
      </c>
      <c r="R62" s="565"/>
      <c r="S62" s="565"/>
      <c r="T62" s="565"/>
      <c r="U62" s="579">
        <v>0</v>
      </c>
      <c r="V62" s="565"/>
      <c r="W62" s="747">
        <f>U62+Q62+O62</f>
        <v>0</v>
      </c>
      <c r="X62" s="565"/>
      <c r="Y62" s="763">
        <f>W62+G62</f>
        <v>0</v>
      </c>
      <c r="Z62" s="609" t="s">
        <v>634</v>
      </c>
    </row>
    <row r="63" spans="1:26" ht="13.5" thickBot="1">
      <c r="A63" s="375"/>
      <c r="B63" s="376"/>
      <c r="C63" s="362"/>
      <c r="G63" s="565"/>
      <c r="H63" s="565"/>
      <c r="I63" s="565"/>
      <c r="J63" s="565"/>
      <c r="K63" s="565"/>
      <c r="L63" s="578"/>
      <c r="M63" s="578"/>
      <c r="N63" s="565"/>
      <c r="O63" s="565"/>
      <c r="P63" s="565"/>
      <c r="Q63" s="565"/>
      <c r="R63" s="565"/>
      <c r="S63" s="565"/>
      <c r="T63" s="565"/>
      <c r="U63" s="565"/>
      <c r="V63" s="565"/>
      <c r="W63" s="565"/>
      <c r="X63" s="565"/>
      <c r="Y63" s="578"/>
      <c r="Z63" s="578"/>
    </row>
    <row r="64" spans="1:26">
      <c r="A64" s="128" t="s">
        <v>730</v>
      </c>
      <c r="B64" s="351" t="s">
        <v>731</v>
      </c>
      <c r="C64" s="352" t="s">
        <v>732</v>
      </c>
      <c r="D64" s="352" t="s">
        <v>80</v>
      </c>
      <c r="E64" s="353" t="s">
        <v>100</v>
      </c>
      <c r="G64" s="565"/>
      <c r="H64" s="565"/>
      <c r="I64" s="565"/>
      <c r="J64" s="565"/>
      <c r="K64" s="731">
        <f>K52+K57+K59+K62</f>
        <v>89.702000000000012</v>
      </c>
      <c r="L64" s="565"/>
      <c r="M64" s="731">
        <f>M52+M57+M59+M62</f>
        <v>109.23399999999999</v>
      </c>
      <c r="N64" s="565"/>
      <c r="O64" s="731">
        <f>O52+O57+O59+O60+O62</f>
        <v>203.017</v>
      </c>
      <c r="P64" s="565"/>
      <c r="Q64" s="764">
        <f>Q52+Q57+Q59+Q60+Q62</f>
        <v>23.464999999999996</v>
      </c>
      <c r="R64" s="565"/>
      <c r="S64" s="565"/>
      <c r="T64" s="565"/>
      <c r="U64" s="764">
        <f>U52+U57+U59+U60+U62</f>
        <v>3.7200000000000006</v>
      </c>
      <c r="V64" s="565"/>
      <c r="W64" s="731">
        <f>U64+Q64+O64</f>
        <v>230.202</v>
      </c>
      <c r="X64" s="565"/>
      <c r="Y64" s="742">
        <f>W64+G64</f>
        <v>230.202</v>
      </c>
      <c r="Z64" s="610" t="s">
        <v>634</v>
      </c>
    </row>
    <row r="65" spans="1:26" ht="13.5" thickBot="1">
      <c r="A65" s="129" t="s">
        <v>733</v>
      </c>
      <c r="B65" s="357" t="s">
        <v>734</v>
      </c>
      <c r="C65" s="358" t="s">
        <v>735</v>
      </c>
      <c r="D65" s="358" t="s">
        <v>80</v>
      </c>
      <c r="E65" s="359" t="s">
        <v>633</v>
      </c>
      <c r="G65" s="565"/>
      <c r="H65" s="565"/>
      <c r="I65" s="565"/>
      <c r="J65" s="565"/>
      <c r="K65" s="581">
        <v>1.2929999999999999</v>
      </c>
      <c r="L65" s="578"/>
      <c r="M65" s="581">
        <v>1.8959999999999999</v>
      </c>
      <c r="N65" s="565"/>
      <c r="O65" s="738">
        <f>K65+M65</f>
        <v>3.1890000000000001</v>
      </c>
      <c r="P65" s="565"/>
      <c r="Q65" s="597">
        <v>0</v>
      </c>
      <c r="R65" s="565"/>
      <c r="S65" s="565"/>
      <c r="T65" s="565"/>
      <c r="U65" s="581">
        <v>0.104</v>
      </c>
      <c r="V65" s="565"/>
      <c r="W65" s="738">
        <f>U65+Q65+O65</f>
        <v>3.2930000000000001</v>
      </c>
      <c r="X65" s="565"/>
      <c r="Y65" s="765">
        <f>W65</f>
        <v>3.2930000000000001</v>
      </c>
      <c r="Z65" s="611" t="s">
        <v>634</v>
      </c>
    </row>
    <row r="66" spans="1:26" ht="13" thickBot="1">
      <c r="A66" s="375"/>
      <c r="B66" s="376"/>
      <c r="C66" s="362"/>
      <c r="G66" s="565"/>
      <c r="H66" s="565"/>
      <c r="I66" s="565"/>
      <c r="J66" s="565"/>
      <c r="K66" s="565"/>
      <c r="L66" s="565"/>
      <c r="M66" s="565"/>
      <c r="N66" s="565"/>
      <c r="O66" s="565"/>
      <c r="P66" s="565"/>
      <c r="Q66" s="565"/>
      <c r="R66" s="565"/>
      <c r="S66" s="565"/>
      <c r="T66" s="565"/>
      <c r="U66" s="565"/>
      <c r="V66" s="565"/>
      <c r="W66" s="565"/>
      <c r="X66" s="565"/>
      <c r="Y66" s="565"/>
      <c r="Z66" s="608"/>
    </row>
    <row r="67" spans="1:26" ht="13.5" thickBot="1">
      <c r="A67" s="156" t="s">
        <v>736</v>
      </c>
      <c r="B67" s="86" t="s">
        <v>737</v>
      </c>
      <c r="C67" s="379" t="s">
        <v>738</v>
      </c>
      <c r="D67" s="379" t="s">
        <v>80</v>
      </c>
      <c r="E67" s="380" t="s">
        <v>100</v>
      </c>
      <c r="G67" s="747">
        <f>G52+G57+G59+G60+G62</f>
        <v>8.2550000000000008</v>
      </c>
      <c r="H67" s="565"/>
      <c r="I67" s="565"/>
      <c r="J67" s="565"/>
      <c r="K67" s="747">
        <f>K64+K65</f>
        <v>90.995000000000019</v>
      </c>
      <c r="L67" s="578"/>
      <c r="M67" s="747">
        <f>M64+M65</f>
        <v>111.13</v>
      </c>
      <c r="N67" s="565"/>
      <c r="O67" s="747">
        <f>O64+O65</f>
        <v>206.20599999999999</v>
      </c>
      <c r="P67" s="565"/>
      <c r="Q67" s="747">
        <f>Q64+Q65</f>
        <v>23.464999999999996</v>
      </c>
      <c r="R67" s="565"/>
      <c r="S67" s="565"/>
      <c r="T67" s="565"/>
      <c r="U67" s="747">
        <f>U64+U65</f>
        <v>3.8240000000000007</v>
      </c>
      <c r="V67" s="565"/>
      <c r="W67" s="747">
        <f>U67+Q67+O67</f>
        <v>233.49499999999998</v>
      </c>
      <c r="X67" s="565"/>
      <c r="Y67" s="757">
        <f>W67+G67</f>
        <v>241.74999999999997</v>
      </c>
      <c r="Z67" s="612" t="s">
        <v>634</v>
      </c>
    </row>
    <row r="68" spans="1:26" ht="13.5" thickBot="1">
      <c r="A68" s="381"/>
      <c r="B68" s="362"/>
      <c r="C68" s="240"/>
      <c r="D68" s="240"/>
      <c r="E68" s="240"/>
      <c r="G68" s="565"/>
      <c r="H68" s="565"/>
      <c r="I68" s="565"/>
      <c r="J68" s="565"/>
      <c r="K68" s="565"/>
      <c r="L68" s="578"/>
      <c r="M68" s="578"/>
      <c r="N68" s="565"/>
      <c r="O68" s="565"/>
      <c r="P68" s="565"/>
      <c r="Q68" s="565"/>
      <c r="R68" s="565"/>
      <c r="S68" s="565"/>
      <c r="T68" s="565"/>
      <c r="U68" s="565"/>
      <c r="V68" s="565"/>
      <c r="W68" s="565"/>
      <c r="X68" s="565"/>
      <c r="Y68" s="565"/>
      <c r="Z68" s="605"/>
    </row>
    <row r="69" spans="1:26" ht="16" thickBot="1">
      <c r="A69" s="382"/>
      <c r="B69" s="383" t="s">
        <v>739</v>
      </c>
      <c r="C69" s="384"/>
      <c r="D69" s="385"/>
      <c r="E69" s="386"/>
      <c r="G69" s="565"/>
      <c r="H69" s="565"/>
      <c r="I69" s="565"/>
      <c r="J69" s="766"/>
      <c r="K69" s="766"/>
      <c r="L69" s="578"/>
      <c r="M69" s="578"/>
      <c r="N69" s="565"/>
      <c r="O69" s="565"/>
      <c r="P69" s="565"/>
      <c r="Q69" s="565"/>
      <c r="R69" s="565"/>
      <c r="S69" s="565"/>
      <c r="T69" s="565"/>
      <c r="U69" s="565"/>
      <c r="V69" s="565"/>
      <c r="W69" s="565"/>
      <c r="X69" s="565"/>
      <c r="Y69" s="578"/>
      <c r="Z69" s="578"/>
    </row>
    <row r="70" spans="1:26" ht="13.5" thickBot="1">
      <c r="A70" s="128" t="s">
        <v>740</v>
      </c>
      <c r="B70" s="351" t="s">
        <v>741</v>
      </c>
      <c r="C70" s="352" t="s">
        <v>742</v>
      </c>
      <c r="D70" s="352" t="s">
        <v>80</v>
      </c>
      <c r="E70" s="353" t="s">
        <v>633</v>
      </c>
      <c r="G70" s="580">
        <v>0</v>
      </c>
      <c r="H70" s="565"/>
      <c r="I70" s="583">
        <v>0</v>
      </c>
      <c r="J70" s="584">
        <v>0</v>
      </c>
      <c r="K70" s="767">
        <f>I70+J70</f>
        <v>0</v>
      </c>
      <c r="L70" s="578"/>
      <c r="M70" s="588">
        <v>31.138000000000002</v>
      </c>
      <c r="N70" s="565"/>
      <c r="O70" s="731">
        <f>K70+M70</f>
        <v>31.138000000000002</v>
      </c>
      <c r="P70" s="565"/>
      <c r="Q70" s="565"/>
      <c r="R70" s="565"/>
      <c r="S70" s="565"/>
      <c r="T70" s="565"/>
      <c r="U70" s="565"/>
      <c r="V70" s="565"/>
      <c r="W70" s="731">
        <f>O70</f>
        <v>31.138000000000002</v>
      </c>
      <c r="X70" s="565"/>
      <c r="Y70" s="742">
        <f>W70+G70</f>
        <v>31.138000000000002</v>
      </c>
      <c r="Z70" s="610" t="s">
        <v>743</v>
      </c>
    </row>
    <row r="71" spans="1:26" ht="13.5" thickBot="1">
      <c r="A71" s="129" t="s">
        <v>744</v>
      </c>
      <c r="B71" s="357" t="s">
        <v>745</v>
      </c>
      <c r="C71" s="358" t="s">
        <v>746</v>
      </c>
      <c r="D71" s="358" t="s">
        <v>80</v>
      </c>
      <c r="E71" s="359" t="s">
        <v>633</v>
      </c>
      <c r="G71" s="581">
        <v>0</v>
      </c>
      <c r="H71" s="565"/>
      <c r="I71" s="585">
        <v>2.7789999999999999</v>
      </c>
      <c r="J71" s="586">
        <v>6.5119999999999996</v>
      </c>
      <c r="K71" s="751">
        <f>I71+J71</f>
        <v>9.2910000000000004</v>
      </c>
      <c r="L71" s="578"/>
      <c r="M71" s="587">
        <v>4.7430000000000003</v>
      </c>
      <c r="N71" s="565"/>
      <c r="O71" s="738">
        <f>K71+M71</f>
        <v>14.034000000000001</v>
      </c>
      <c r="P71" s="565"/>
      <c r="Q71" s="579">
        <v>0</v>
      </c>
      <c r="R71" s="565"/>
      <c r="S71" s="598">
        <v>0</v>
      </c>
      <c r="T71" s="599">
        <v>0</v>
      </c>
      <c r="U71" s="768">
        <f>S71+T71</f>
        <v>0</v>
      </c>
      <c r="V71" s="565"/>
      <c r="W71" s="738">
        <f>U71+Q71+O71</f>
        <v>14.034000000000001</v>
      </c>
      <c r="X71" s="565"/>
      <c r="Y71" s="746">
        <f>W71+G71</f>
        <v>14.034000000000001</v>
      </c>
      <c r="Z71" s="611" t="s">
        <v>743</v>
      </c>
    </row>
    <row r="72" spans="1:26" ht="13.5" thickBot="1">
      <c r="A72" s="375"/>
      <c r="B72" s="376"/>
      <c r="C72" s="362"/>
      <c r="G72" s="565"/>
      <c r="H72" s="565"/>
      <c r="I72" s="565"/>
      <c r="J72" s="565"/>
      <c r="K72" s="565"/>
      <c r="L72" s="578"/>
      <c r="M72" s="578"/>
      <c r="N72" s="565"/>
      <c r="O72" s="565"/>
      <c r="P72" s="565"/>
      <c r="Q72" s="565"/>
      <c r="R72" s="565"/>
      <c r="S72" s="565"/>
      <c r="T72" s="565"/>
      <c r="U72" s="565"/>
      <c r="V72" s="565"/>
      <c r="W72" s="565"/>
      <c r="X72" s="565"/>
      <c r="Y72" s="565"/>
      <c r="Z72" s="608"/>
    </row>
    <row r="73" spans="1:26" ht="13.5" thickBot="1">
      <c r="A73" s="370"/>
      <c r="B73" s="371" t="s">
        <v>747</v>
      </c>
      <c r="C73" s="372"/>
      <c r="D73" s="373"/>
      <c r="E73" s="374"/>
      <c r="G73" s="565"/>
      <c r="H73" s="565"/>
      <c r="I73" s="565"/>
      <c r="J73" s="565"/>
      <c r="K73" s="565"/>
      <c r="L73" s="565"/>
      <c r="M73" s="565"/>
      <c r="N73" s="565"/>
      <c r="O73" s="565"/>
      <c r="P73" s="565"/>
      <c r="Q73" s="565"/>
      <c r="R73" s="565"/>
      <c r="S73" s="565"/>
      <c r="T73" s="565"/>
      <c r="U73" s="565"/>
      <c r="V73" s="565"/>
      <c r="W73" s="565"/>
      <c r="X73" s="565"/>
      <c r="Y73" s="565"/>
      <c r="Z73" s="608"/>
    </row>
    <row r="74" spans="1:26">
      <c r="A74" s="128" t="s">
        <v>748</v>
      </c>
      <c r="B74" s="351" t="s">
        <v>749</v>
      </c>
      <c r="C74" s="352" t="s">
        <v>750</v>
      </c>
      <c r="D74" s="352" t="s">
        <v>80</v>
      </c>
      <c r="E74" s="353" t="s">
        <v>633</v>
      </c>
      <c r="G74" s="580">
        <v>5.0999999999999997E-2</v>
      </c>
      <c r="H74" s="565"/>
      <c r="I74" s="565"/>
      <c r="J74" s="565"/>
      <c r="K74" s="580">
        <v>13.395</v>
      </c>
      <c r="L74" s="565"/>
      <c r="M74" s="580">
        <v>73.025999999999996</v>
      </c>
      <c r="N74" s="565"/>
      <c r="O74" s="731">
        <f t="shared" ref="O74:O79" si="7">K74+M74</f>
        <v>86.420999999999992</v>
      </c>
      <c r="P74" s="565"/>
      <c r="Q74" s="565"/>
      <c r="R74" s="565"/>
      <c r="S74" s="565"/>
      <c r="T74" s="565"/>
      <c r="U74" s="565"/>
      <c r="V74" s="565"/>
      <c r="W74" s="731">
        <f>O74</f>
        <v>86.420999999999992</v>
      </c>
      <c r="X74" s="565"/>
      <c r="Y74" s="758">
        <f t="shared" ref="Y74:Y79" si="8">W74+G74</f>
        <v>86.471999999999994</v>
      </c>
      <c r="Z74" s="607" t="s">
        <v>634</v>
      </c>
    </row>
    <row r="75" spans="1:26">
      <c r="A75" s="124" t="s">
        <v>751</v>
      </c>
      <c r="B75" s="354" t="s">
        <v>752</v>
      </c>
      <c r="C75" s="355" t="s">
        <v>753</v>
      </c>
      <c r="D75" s="355" t="s">
        <v>80</v>
      </c>
      <c r="E75" s="356" t="s">
        <v>633</v>
      </c>
      <c r="G75" s="582">
        <v>0</v>
      </c>
      <c r="H75" s="565"/>
      <c r="I75" s="565"/>
      <c r="J75" s="565"/>
      <c r="K75" s="582">
        <v>0</v>
      </c>
      <c r="L75" s="565"/>
      <c r="M75" s="566">
        <v>0</v>
      </c>
      <c r="N75" s="565"/>
      <c r="O75" s="769">
        <f t="shared" si="7"/>
        <v>0</v>
      </c>
      <c r="P75" s="565"/>
      <c r="Q75" s="565"/>
      <c r="R75" s="565"/>
      <c r="S75" s="565"/>
      <c r="T75" s="565"/>
      <c r="U75" s="565"/>
      <c r="V75" s="565"/>
      <c r="W75" s="734">
        <f>O75</f>
        <v>0</v>
      </c>
      <c r="X75" s="565"/>
      <c r="Y75" s="770">
        <f t="shared" si="8"/>
        <v>0</v>
      </c>
      <c r="Z75" s="603" t="s">
        <v>634</v>
      </c>
    </row>
    <row r="76" spans="1:26" ht="13">
      <c r="A76" s="123" t="s">
        <v>754</v>
      </c>
      <c r="B76" s="354" t="s">
        <v>755</v>
      </c>
      <c r="C76" s="355"/>
      <c r="D76" s="355" t="s">
        <v>80</v>
      </c>
      <c r="E76" s="356" t="s">
        <v>633</v>
      </c>
      <c r="G76" s="582">
        <v>0.63900000000000001</v>
      </c>
      <c r="H76" s="565"/>
      <c r="I76" s="565"/>
      <c r="J76" s="565"/>
      <c r="K76" s="566">
        <v>101.72199999999999</v>
      </c>
      <c r="L76" s="578"/>
      <c r="M76" s="771">
        <v>23.853000000000002</v>
      </c>
      <c r="N76" s="565"/>
      <c r="O76" s="769">
        <f t="shared" si="7"/>
        <v>125.57499999999999</v>
      </c>
      <c r="P76" s="565"/>
      <c r="Q76" s="565"/>
      <c r="R76" s="565"/>
      <c r="S76" s="565"/>
      <c r="T76" s="565"/>
      <c r="U76" s="565"/>
      <c r="V76" s="565"/>
      <c r="W76" s="734">
        <f>O76</f>
        <v>125.57499999999999</v>
      </c>
      <c r="X76" s="565"/>
      <c r="Y76" s="770">
        <f t="shared" si="8"/>
        <v>126.21399999999998</v>
      </c>
      <c r="Z76" s="603" t="s">
        <v>634</v>
      </c>
    </row>
    <row r="77" spans="1:26" ht="13" thickBot="1">
      <c r="A77" s="123" t="s">
        <v>756</v>
      </c>
      <c r="B77" s="354" t="s">
        <v>757</v>
      </c>
      <c r="C77" s="355" t="s">
        <v>758</v>
      </c>
      <c r="D77" s="355" t="s">
        <v>80</v>
      </c>
      <c r="E77" s="356" t="s">
        <v>633</v>
      </c>
      <c r="G77" s="582">
        <v>-0.111</v>
      </c>
      <c r="H77" s="565"/>
      <c r="I77" s="565"/>
      <c r="J77" s="565"/>
      <c r="K77" s="566">
        <v>-0.51600000000000001</v>
      </c>
      <c r="L77" s="565"/>
      <c r="M77" s="566">
        <v>-0.23899999999999999</v>
      </c>
      <c r="N77" s="565"/>
      <c r="O77" s="769">
        <f t="shared" si="7"/>
        <v>-0.755</v>
      </c>
      <c r="P77" s="565"/>
      <c r="Q77" s="565"/>
      <c r="R77" s="565"/>
      <c r="S77" s="565"/>
      <c r="T77" s="565"/>
      <c r="U77" s="565"/>
      <c r="V77" s="565"/>
      <c r="W77" s="734">
        <f>O77</f>
        <v>-0.755</v>
      </c>
      <c r="X77" s="565"/>
      <c r="Y77" s="770">
        <f t="shared" si="8"/>
        <v>-0.86599999999999999</v>
      </c>
      <c r="Z77" s="613" t="s">
        <v>634</v>
      </c>
    </row>
    <row r="78" spans="1:26">
      <c r="A78" s="123" t="s">
        <v>759</v>
      </c>
      <c r="B78" s="354" t="s">
        <v>760</v>
      </c>
      <c r="C78" s="355" t="s">
        <v>761</v>
      </c>
      <c r="D78" s="355" t="s">
        <v>80</v>
      </c>
      <c r="E78" s="356" t="s">
        <v>633</v>
      </c>
      <c r="G78" s="582">
        <v>0</v>
      </c>
      <c r="H78" s="565"/>
      <c r="I78" s="565"/>
      <c r="J78" s="565"/>
      <c r="K78" s="566">
        <v>0</v>
      </c>
      <c r="L78" s="565"/>
      <c r="M78" s="566">
        <v>0</v>
      </c>
      <c r="N78" s="565"/>
      <c r="O78" s="769">
        <f t="shared" si="7"/>
        <v>0</v>
      </c>
      <c r="P78" s="565"/>
      <c r="Q78" s="580">
        <v>0</v>
      </c>
      <c r="R78" s="565"/>
      <c r="S78" s="565"/>
      <c r="T78" s="565"/>
      <c r="U78" s="580">
        <v>0</v>
      </c>
      <c r="V78" s="565"/>
      <c r="W78" s="734">
        <f>U78+Q78+O78</f>
        <v>0</v>
      </c>
      <c r="X78" s="565"/>
      <c r="Y78" s="770">
        <f t="shared" si="8"/>
        <v>0</v>
      </c>
      <c r="Z78" s="613" t="s">
        <v>634</v>
      </c>
    </row>
    <row r="79" spans="1:26" ht="18.5" thickBot="1">
      <c r="A79" s="130" t="s">
        <v>762</v>
      </c>
      <c r="B79" s="357" t="s">
        <v>763</v>
      </c>
      <c r="C79" s="358" t="s">
        <v>764</v>
      </c>
      <c r="D79" s="358" t="s">
        <v>80</v>
      </c>
      <c r="E79" s="359" t="s">
        <v>633</v>
      </c>
      <c r="G79" s="581">
        <v>0</v>
      </c>
      <c r="H79" s="565"/>
      <c r="I79" s="565"/>
      <c r="J79" s="565"/>
      <c r="K79" s="581">
        <v>0.30199999999999999</v>
      </c>
      <c r="L79" s="589"/>
      <c r="M79" s="581">
        <v>0.45700000000000002</v>
      </c>
      <c r="N79" s="565"/>
      <c r="O79" s="772">
        <f t="shared" si="7"/>
        <v>0.75900000000000001</v>
      </c>
      <c r="P79" s="565"/>
      <c r="Q79" s="581">
        <v>0.23899999999999999</v>
      </c>
      <c r="R79" s="565"/>
      <c r="S79" s="565"/>
      <c r="T79" s="565"/>
      <c r="U79" s="581">
        <v>7.4999999999999997E-2</v>
      </c>
      <c r="V79" s="565"/>
      <c r="W79" s="738">
        <f>U79+Q79+O79</f>
        <v>1.073</v>
      </c>
      <c r="X79" s="565"/>
      <c r="Y79" s="765">
        <f t="shared" si="8"/>
        <v>1.073</v>
      </c>
      <c r="Z79" s="611" t="s">
        <v>634</v>
      </c>
    </row>
    <row r="80" spans="1:26" ht="18.5" thickBot="1">
      <c r="A80" s="387"/>
      <c r="B80" s="376"/>
      <c r="C80" s="362"/>
      <c r="D80" s="291"/>
      <c r="E80" s="291"/>
      <c r="G80" s="565"/>
      <c r="H80" s="565"/>
      <c r="I80" s="565"/>
      <c r="J80" s="565"/>
      <c r="K80" s="565"/>
      <c r="L80" s="589"/>
      <c r="M80" s="589"/>
      <c r="N80" s="565"/>
      <c r="O80" s="565"/>
      <c r="P80" s="565"/>
      <c r="Q80" s="565"/>
      <c r="R80" s="565"/>
      <c r="S80" s="565"/>
      <c r="T80" s="565"/>
      <c r="U80" s="565"/>
      <c r="V80" s="565"/>
      <c r="W80" s="565"/>
      <c r="X80" s="565"/>
      <c r="Y80" s="578"/>
      <c r="Z80" s="578"/>
    </row>
    <row r="81" spans="1:26" ht="18">
      <c r="A81" s="122" t="s">
        <v>765</v>
      </c>
      <c r="B81" s="351" t="s">
        <v>766</v>
      </c>
      <c r="C81" s="352" t="s">
        <v>767</v>
      </c>
      <c r="D81" s="352" t="s">
        <v>80</v>
      </c>
      <c r="E81" s="353" t="s">
        <v>100</v>
      </c>
      <c r="G81" s="565"/>
      <c r="H81" s="565"/>
      <c r="I81" s="565"/>
      <c r="J81" s="565"/>
      <c r="K81" s="773">
        <f>SUM(K74:K79)</f>
        <v>114.90299999999999</v>
      </c>
      <c r="L81" s="589"/>
      <c r="M81" s="774">
        <f>SUM(M74:M79)</f>
        <v>97.09699999999998</v>
      </c>
      <c r="N81" s="565"/>
      <c r="O81" s="731">
        <f>K81+M81</f>
        <v>211.99999999999997</v>
      </c>
      <c r="P81" s="565"/>
      <c r="Q81" s="731">
        <f>Q78+Q79</f>
        <v>0.23899999999999999</v>
      </c>
      <c r="R81" s="565"/>
      <c r="S81" s="565"/>
      <c r="T81" s="565"/>
      <c r="U81" s="731">
        <f>U78+U79</f>
        <v>7.4999999999999997E-2</v>
      </c>
      <c r="V81" s="565"/>
      <c r="W81" s="731">
        <f>U81+Q81+O81</f>
        <v>212.31399999999996</v>
      </c>
      <c r="X81" s="565"/>
      <c r="Y81" s="732">
        <f>W81</f>
        <v>212.31399999999996</v>
      </c>
      <c r="Z81" s="614" t="s">
        <v>634</v>
      </c>
    </row>
    <row r="82" spans="1:26" ht="16" thickBot="1">
      <c r="A82" s="130" t="s">
        <v>768</v>
      </c>
      <c r="B82" s="357" t="s">
        <v>769</v>
      </c>
      <c r="C82" s="358" t="s">
        <v>770</v>
      </c>
      <c r="D82" s="358" t="s">
        <v>80</v>
      </c>
      <c r="E82" s="359" t="s">
        <v>633</v>
      </c>
      <c r="G82" s="565"/>
      <c r="H82" s="565"/>
      <c r="I82" s="565"/>
      <c r="J82" s="565"/>
      <c r="K82" s="590">
        <v>2.1549999999999998</v>
      </c>
      <c r="L82" s="592"/>
      <c r="M82" s="591">
        <v>1.804</v>
      </c>
      <c r="N82" s="565"/>
      <c r="O82" s="738">
        <f>K82+M82</f>
        <v>3.9589999999999996</v>
      </c>
      <c r="P82" s="565"/>
      <c r="Q82" s="581">
        <v>2E-3</v>
      </c>
      <c r="R82" s="565"/>
      <c r="S82" s="565"/>
      <c r="T82" s="565"/>
      <c r="U82" s="581">
        <v>2E-3</v>
      </c>
      <c r="V82" s="565"/>
      <c r="W82" s="738">
        <f>U82+Q82+O82</f>
        <v>3.9629999999999996</v>
      </c>
      <c r="X82" s="565"/>
      <c r="Y82" s="765">
        <f>W82</f>
        <v>3.9629999999999996</v>
      </c>
      <c r="Z82" s="615" t="s">
        <v>634</v>
      </c>
    </row>
    <row r="83" spans="1:26" ht="13.5" thickBot="1">
      <c r="A83" s="375"/>
      <c r="B83" s="376"/>
      <c r="C83" s="362"/>
      <c r="G83" s="565"/>
      <c r="H83" s="565"/>
      <c r="I83" s="565"/>
      <c r="J83" s="565"/>
      <c r="K83" s="565"/>
      <c r="L83" s="775"/>
      <c r="M83" s="775"/>
      <c r="N83" s="565"/>
      <c r="O83" s="565"/>
      <c r="P83" s="565"/>
      <c r="Q83" s="565"/>
      <c r="R83" s="565"/>
      <c r="S83" s="565"/>
      <c r="T83" s="565"/>
      <c r="U83" s="565"/>
      <c r="V83" s="565"/>
      <c r="W83" s="565"/>
      <c r="X83" s="565"/>
      <c r="Y83" s="565"/>
      <c r="Z83" s="608"/>
    </row>
    <row r="84" spans="1:26" ht="13.5" thickBot="1">
      <c r="A84" s="131" t="s">
        <v>771</v>
      </c>
      <c r="B84" s="86" t="s">
        <v>772</v>
      </c>
      <c r="C84" s="379" t="s">
        <v>773</v>
      </c>
      <c r="D84" s="379" t="s">
        <v>80</v>
      </c>
      <c r="E84" s="380" t="s">
        <v>100</v>
      </c>
      <c r="G84" s="747">
        <f>SUM(G74:G79)</f>
        <v>0.57900000000000007</v>
      </c>
      <c r="H84" s="565"/>
      <c r="I84" s="565"/>
      <c r="J84" s="565"/>
      <c r="K84" s="747">
        <f>K81+K82</f>
        <v>117.05799999999999</v>
      </c>
      <c r="L84" s="776"/>
      <c r="M84" s="760">
        <f>M81+M82</f>
        <v>98.900999999999982</v>
      </c>
      <c r="N84" s="565"/>
      <c r="O84" s="747">
        <f>K84+M84</f>
        <v>215.95899999999997</v>
      </c>
      <c r="P84" s="565"/>
      <c r="Q84" s="747">
        <f>Q81+Q82</f>
        <v>0.24099999999999999</v>
      </c>
      <c r="R84" s="565"/>
      <c r="S84" s="565"/>
      <c r="T84" s="565"/>
      <c r="U84" s="747">
        <f>U81+U82</f>
        <v>7.6999999999999999E-2</v>
      </c>
      <c r="V84" s="565"/>
      <c r="W84" s="747">
        <f>U84+Q84+O84</f>
        <v>216.27699999999999</v>
      </c>
      <c r="X84" s="565"/>
      <c r="Y84" s="763">
        <f>W84+G84</f>
        <v>216.85599999999999</v>
      </c>
      <c r="Z84" s="609" t="s">
        <v>634</v>
      </c>
    </row>
    <row r="85" spans="1:26" ht="13" thickBot="1">
      <c r="A85" s="375"/>
      <c r="B85" s="362"/>
      <c r="C85" s="376"/>
      <c r="G85" s="565"/>
      <c r="H85" s="565"/>
      <c r="I85" s="565"/>
      <c r="J85" s="565"/>
      <c r="K85" s="565"/>
      <c r="L85" s="776"/>
      <c r="M85" s="777"/>
      <c r="N85" s="565"/>
      <c r="O85" s="565"/>
      <c r="P85" s="565"/>
      <c r="Q85" s="565"/>
      <c r="R85" s="565"/>
      <c r="S85" s="565"/>
      <c r="T85" s="565"/>
      <c r="U85" s="565"/>
      <c r="V85" s="565"/>
      <c r="W85" s="565"/>
      <c r="X85" s="565"/>
      <c r="Y85" s="565"/>
      <c r="Z85" s="608"/>
    </row>
    <row r="86" spans="1:26" ht="18.5" thickBot="1">
      <c r="A86" s="131" t="s">
        <v>774</v>
      </c>
      <c r="B86" s="86" t="s">
        <v>775</v>
      </c>
      <c r="C86" s="379" t="s">
        <v>776</v>
      </c>
      <c r="D86" s="379" t="s">
        <v>80</v>
      </c>
      <c r="E86" s="380" t="s">
        <v>100</v>
      </c>
      <c r="F86" s="291"/>
      <c r="G86" s="747">
        <f>G67+G84</f>
        <v>8.8340000000000014</v>
      </c>
      <c r="H86" s="589"/>
      <c r="I86" s="589"/>
      <c r="J86" s="589"/>
      <c r="K86" s="747">
        <f>K67+K84</f>
        <v>208.053</v>
      </c>
      <c r="L86" s="776"/>
      <c r="M86" s="778">
        <f>M67+M84</f>
        <v>210.03099999999998</v>
      </c>
      <c r="N86" s="565"/>
      <c r="O86" s="747">
        <f>O67+O84</f>
        <v>422.16499999999996</v>
      </c>
      <c r="P86" s="565"/>
      <c r="Q86" s="747">
        <f>Q67+Q84</f>
        <v>23.705999999999996</v>
      </c>
      <c r="R86" s="565"/>
      <c r="S86" s="565"/>
      <c r="T86" s="565"/>
      <c r="U86" s="747">
        <f>U67+U84</f>
        <v>3.9010000000000007</v>
      </c>
      <c r="V86" s="565"/>
      <c r="W86" s="747">
        <f>U86+Q86+O86</f>
        <v>449.77199999999993</v>
      </c>
      <c r="X86" s="565"/>
      <c r="Y86" s="757">
        <f>W86+G86</f>
        <v>458.60599999999994</v>
      </c>
      <c r="Z86" s="612" t="s">
        <v>634</v>
      </c>
    </row>
  </sheetData>
  <mergeCells count="5">
    <mergeCell ref="G5:Z5"/>
    <mergeCell ref="I9:K9"/>
    <mergeCell ref="I8:M8"/>
    <mergeCell ref="Q8:U8"/>
    <mergeCell ref="G9:G11"/>
  </mergeCells>
  <phoneticPr fontId="4" type="noConversion"/>
  <pageMargins left="0" right="0" top="0.39370078740157483" bottom="0.39370078740157483" header="0.51181102362204722" footer="0.51181102362204722"/>
  <pageSetup paperSize="8" scale="39" orientation="landscape" r:id="rId1"/>
  <headerFooter alignWithMargins="0">
    <oddFooter>&amp;L&amp;1#&amp;"Arial"&amp;11&amp;K000000SW Internal Commercial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6">
    <pageSetUpPr fitToPage="1"/>
  </sheetPr>
  <dimension ref="A2:Z87"/>
  <sheetViews>
    <sheetView zoomScaleNormal="100" workbookViewId="0">
      <pane xSplit="5" ySplit="11" topLeftCell="H12" activePane="bottomRight" state="frozen"/>
      <selection pane="topRight" activeCell="F1" sqref="F1"/>
      <selection pane="bottomLeft" activeCell="A12" sqref="A12"/>
      <selection pane="bottomRight" activeCell="U14" sqref="U14"/>
    </sheetView>
  </sheetViews>
  <sheetFormatPr defaultColWidth="9.1796875" defaultRowHeight="12.5"/>
  <cols>
    <col min="1" max="1" width="9.1796875" style="239"/>
    <col min="2" max="2" width="56.81640625" style="239" customWidth="1"/>
    <col min="3" max="3" width="9.453125" style="239" bestFit="1" customWidth="1"/>
    <col min="4" max="5" width="9.1796875" style="239"/>
    <col min="6" max="6" width="3.26953125" style="239" customWidth="1"/>
    <col min="7" max="7" width="32.453125" style="238" bestFit="1" customWidth="1"/>
    <col min="8" max="8" width="6.7265625" style="239" customWidth="1"/>
    <col min="9" max="9" width="14.26953125" style="238" customWidth="1"/>
    <col min="10" max="11" width="14.26953125" style="117" customWidth="1"/>
    <col min="12" max="12" width="3.1796875" style="239" customWidth="1"/>
    <col min="13" max="13" width="14.26953125" style="238" customWidth="1"/>
    <col min="14" max="14" width="3.1796875" style="239" customWidth="1"/>
    <col min="15" max="15" width="14.26953125" style="238" customWidth="1"/>
    <col min="16" max="16" width="2.453125" style="239" customWidth="1"/>
    <col min="17" max="19" width="14.26953125" style="238" customWidth="1"/>
    <col min="20" max="20" width="4.26953125" style="239" customWidth="1"/>
    <col min="21" max="21" width="14.26953125" style="238" customWidth="1"/>
    <col min="22" max="22" width="4.81640625" style="239" customWidth="1"/>
    <col min="23" max="23" width="14.26953125" style="238" customWidth="1"/>
    <col min="24" max="24" width="8.26953125" style="239" customWidth="1"/>
    <col min="25" max="25" width="3.1796875" style="239" customWidth="1"/>
    <col min="26" max="16384" width="9.1796875" style="239"/>
  </cols>
  <sheetData>
    <row r="2" spans="1:24" ht="15.5">
      <c r="A2" s="455" t="s">
        <v>64</v>
      </c>
      <c r="B2" s="390"/>
      <c r="C2" s="390"/>
      <c r="D2" s="88"/>
      <c r="E2" s="88"/>
      <c r="F2" s="88"/>
      <c r="G2" s="90"/>
      <c r="H2" s="88"/>
      <c r="I2" s="90"/>
      <c r="J2" s="89"/>
      <c r="K2" s="89"/>
      <c r="W2" s="90"/>
      <c r="X2" s="88"/>
    </row>
    <row r="3" spans="1:24" ht="15.5">
      <c r="A3" s="456" t="s">
        <v>777</v>
      </c>
      <c r="B3" s="390"/>
      <c r="C3" s="390"/>
      <c r="D3" s="88"/>
      <c r="E3" s="88"/>
      <c r="F3" s="88"/>
      <c r="G3" s="90"/>
      <c r="H3" s="88"/>
      <c r="I3" s="90"/>
      <c r="J3" s="89"/>
      <c r="K3" s="89"/>
      <c r="W3" s="90"/>
      <c r="X3" s="88"/>
    </row>
    <row r="4" spans="1:24">
      <c r="B4" s="88"/>
      <c r="H4" s="295"/>
      <c r="J4" s="89"/>
      <c r="K4" s="89"/>
      <c r="W4" s="90"/>
      <c r="X4" s="88"/>
    </row>
    <row r="5" spans="1:24" ht="13">
      <c r="A5" s="391"/>
      <c r="B5" s="88"/>
      <c r="F5" s="239" t="s">
        <v>607</v>
      </c>
      <c r="G5" s="854" t="str">
        <f>reportyear</f>
        <v>2019-20</v>
      </c>
      <c r="H5" s="855"/>
      <c r="I5" s="855"/>
      <c r="J5" s="855"/>
      <c r="K5" s="855"/>
      <c r="L5" s="855"/>
      <c r="M5" s="855"/>
      <c r="N5" s="855"/>
      <c r="O5" s="855"/>
      <c r="P5" s="855"/>
      <c r="Q5" s="855"/>
      <c r="R5" s="855"/>
      <c r="S5" s="855"/>
      <c r="T5" s="855"/>
      <c r="U5" s="855"/>
      <c r="V5" s="855"/>
      <c r="W5" s="855"/>
      <c r="X5" s="855"/>
    </row>
    <row r="6" spans="1:24" ht="13" thickBot="1">
      <c r="A6" s="88"/>
      <c r="B6" s="88"/>
      <c r="C6" s="88"/>
      <c r="D6" s="88"/>
      <c r="E6" s="88"/>
      <c r="F6" s="88"/>
      <c r="G6" s="91">
        <v>1</v>
      </c>
      <c r="H6" s="92"/>
      <c r="I6" s="93">
        <v>2</v>
      </c>
      <c r="J6" s="94">
        <v>3</v>
      </c>
      <c r="K6" s="392">
        <v>4</v>
      </c>
      <c r="L6" s="393"/>
      <c r="M6" s="393">
        <v>5</v>
      </c>
      <c r="N6" s="393"/>
      <c r="O6" s="393">
        <v>6</v>
      </c>
      <c r="P6" s="393"/>
      <c r="Q6" s="393">
        <v>7</v>
      </c>
      <c r="R6" s="393">
        <v>8</v>
      </c>
      <c r="S6" s="393">
        <v>9</v>
      </c>
      <c r="T6" s="393"/>
      <c r="U6" s="393">
        <v>10</v>
      </c>
      <c r="V6" s="394"/>
      <c r="W6" s="95">
        <v>11</v>
      </c>
      <c r="X6" s="96">
        <v>12</v>
      </c>
    </row>
    <row r="7" spans="1:24" ht="13.5" thickBot="1">
      <c r="A7" s="88"/>
      <c r="B7" s="88"/>
      <c r="C7" s="88"/>
      <c r="D7" s="88"/>
      <c r="E7" s="88"/>
      <c r="F7" s="88"/>
      <c r="G7" s="97" t="s">
        <v>608</v>
      </c>
      <c r="H7" s="88"/>
      <c r="I7" s="859" t="s">
        <v>609</v>
      </c>
      <c r="J7" s="860"/>
      <c r="K7" s="860"/>
      <c r="L7" s="860"/>
      <c r="M7" s="860"/>
      <c r="N7" s="860"/>
      <c r="O7" s="860"/>
      <c r="P7" s="860"/>
      <c r="Q7" s="860"/>
      <c r="R7" s="860"/>
      <c r="S7" s="860"/>
      <c r="T7" s="860"/>
      <c r="U7" s="861"/>
      <c r="V7" s="240"/>
      <c r="W7" s="98"/>
      <c r="X7" s="99"/>
    </row>
    <row r="8" spans="1:24" ht="13.5" thickBot="1">
      <c r="A8" s="100"/>
      <c r="B8" s="88"/>
      <c r="C8" s="88"/>
      <c r="D8" s="88"/>
      <c r="E8" s="88"/>
      <c r="F8" s="88"/>
      <c r="G8" s="309"/>
      <c r="H8" s="88"/>
      <c r="I8" s="395"/>
      <c r="L8" s="101"/>
      <c r="M8" s="102"/>
      <c r="O8" s="859" t="s">
        <v>611</v>
      </c>
      <c r="P8" s="860"/>
      <c r="Q8" s="860"/>
      <c r="R8" s="860"/>
      <c r="S8" s="861"/>
      <c r="T8" s="240"/>
      <c r="U8" s="311"/>
      <c r="V8" s="240"/>
      <c r="W8" s="103"/>
      <c r="X8" s="104"/>
    </row>
    <row r="9" spans="1:24" ht="13.5" thickBot="1">
      <c r="A9" s="396" t="s">
        <v>66</v>
      </c>
      <c r="B9" s="397" t="s">
        <v>67</v>
      </c>
      <c r="C9" s="398" t="s">
        <v>612</v>
      </c>
      <c r="D9" s="398" t="s">
        <v>69</v>
      </c>
      <c r="E9" s="399" t="s">
        <v>70</v>
      </c>
      <c r="F9" s="88"/>
      <c r="G9" s="862" t="s">
        <v>76</v>
      </c>
      <c r="H9" s="88"/>
      <c r="I9" s="400" t="s">
        <v>778</v>
      </c>
      <c r="J9" s="511" t="s">
        <v>779</v>
      </c>
      <c r="K9" s="511" t="s">
        <v>780</v>
      </c>
      <c r="L9" s="240"/>
      <c r="M9" s="512" t="s">
        <v>614</v>
      </c>
      <c r="O9" s="511" t="s">
        <v>615</v>
      </c>
      <c r="P9" s="291"/>
      <c r="Q9" s="317" t="s">
        <v>616</v>
      </c>
      <c r="R9" s="318"/>
      <c r="S9" s="319"/>
      <c r="U9" s="511" t="s">
        <v>509</v>
      </c>
      <c r="W9" s="320" t="s">
        <v>509</v>
      </c>
      <c r="X9" s="321"/>
    </row>
    <row r="10" spans="1:24" ht="13">
      <c r="A10" s="401" t="s">
        <v>617</v>
      </c>
      <c r="B10" s="402"/>
      <c r="C10" s="403" t="s">
        <v>618</v>
      </c>
      <c r="D10" s="403"/>
      <c r="E10" s="404" t="s">
        <v>73</v>
      </c>
      <c r="F10" s="88"/>
      <c r="G10" s="863"/>
      <c r="H10" s="88"/>
      <c r="I10" s="512"/>
      <c r="J10" s="512" t="s">
        <v>781</v>
      </c>
      <c r="K10" s="405" t="s">
        <v>781</v>
      </c>
      <c r="L10" s="172"/>
      <c r="M10" s="405" t="s">
        <v>74</v>
      </c>
      <c r="O10" s="512" t="s">
        <v>622</v>
      </c>
      <c r="P10" s="172"/>
      <c r="Q10" s="406"/>
      <c r="R10" s="407" t="s">
        <v>623</v>
      </c>
      <c r="S10" s="511"/>
      <c r="T10" s="172"/>
      <c r="U10" s="405" t="s">
        <v>624</v>
      </c>
      <c r="V10" s="172"/>
      <c r="W10" s="408" t="s">
        <v>624</v>
      </c>
      <c r="X10" s="409"/>
    </row>
    <row r="11" spans="1:24" ht="13.5" thickBot="1">
      <c r="A11" s="410"/>
      <c r="B11" s="411"/>
      <c r="C11" s="412" t="s">
        <v>72</v>
      </c>
      <c r="D11" s="413"/>
      <c r="E11" s="414"/>
      <c r="F11" s="88"/>
      <c r="G11" s="864"/>
      <c r="H11" s="88"/>
      <c r="I11" s="513"/>
      <c r="J11" s="105"/>
      <c r="K11" s="105" t="s">
        <v>782</v>
      </c>
      <c r="L11" s="240"/>
      <c r="M11" s="513" t="s">
        <v>76</v>
      </c>
      <c r="O11" s="513"/>
      <c r="P11" s="76"/>
      <c r="Q11" s="339" t="s">
        <v>625</v>
      </c>
      <c r="R11" s="340" t="s">
        <v>625</v>
      </c>
      <c r="S11" s="513" t="s">
        <v>76</v>
      </c>
      <c r="T11" s="172"/>
      <c r="U11" s="105" t="s">
        <v>626</v>
      </c>
      <c r="V11" s="76"/>
      <c r="W11" s="343" t="s">
        <v>76</v>
      </c>
      <c r="X11" s="415" t="s">
        <v>627</v>
      </c>
    </row>
    <row r="12" spans="1:24" ht="13" thickBot="1">
      <c r="A12" s="416"/>
      <c r="B12" s="417"/>
      <c r="C12" s="88"/>
      <c r="D12" s="88"/>
      <c r="E12" s="88"/>
      <c r="F12" s="88"/>
      <c r="H12" s="88"/>
      <c r="I12" s="90"/>
      <c r="K12" s="89"/>
      <c r="L12" s="88"/>
      <c r="M12" s="90"/>
      <c r="N12" s="88"/>
      <c r="O12" s="90"/>
      <c r="P12" s="88"/>
      <c r="Q12" s="90"/>
      <c r="R12" s="90"/>
      <c r="W12" s="90"/>
      <c r="X12" s="88"/>
    </row>
    <row r="13" spans="1:24" ht="13.5" thickBot="1">
      <c r="A13" s="418"/>
      <c r="B13" s="419" t="s">
        <v>783</v>
      </c>
      <c r="C13" s="419"/>
      <c r="D13" s="419"/>
      <c r="E13" s="420"/>
      <c r="F13" s="88"/>
      <c r="H13" s="88"/>
      <c r="I13" s="90"/>
      <c r="K13" s="89"/>
      <c r="L13" s="241" t="s">
        <v>629</v>
      </c>
      <c r="M13" s="242"/>
      <c r="N13" s="241"/>
      <c r="O13" s="242"/>
      <c r="P13" s="241"/>
      <c r="Q13" s="242"/>
      <c r="R13" s="242"/>
      <c r="W13" s="242"/>
      <c r="X13" s="241"/>
    </row>
    <row r="14" spans="1:24">
      <c r="A14" s="421" t="s">
        <v>630</v>
      </c>
      <c r="B14" s="106" t="s">
        <v>631</v>
      </c>
      <c r="C14" s="422" t="s">
        <v>632</v>
      </c>
      <c r="D14" s="422" t="s">
        <v>80</v>
      </c>
      <c r="E14" s="423" t="s">
        <v>633</v>
      </c>
      <c r="F14" s="88"/>
      <c r="G14" s="618">
        <v>2.0590000000000002</v>
      </c>
      <c r="H14" s="656"/>
      <c r="I14" s="633">
        <v>15.878</v>
      </c>
      <c r="J14" s="619">
        <v>18.356999999999999</v>
      </c>
      <c r="K14" s="620">
        <v>3.7109999999999999</v>
      </c>
      <c r="L14" s="656"/>
      <c r="M14" s="731">
        <f t="shared" ref="M14:M19" si="0">SUM(I14:K14)</f>
        <v>37.945999999999998</v>
      </c>
      <c r="N14" s="565"/>
      <c r="O14" s="565"/>
      <c r="P14" s="565"/>
      <c r="Q14" s="565"/>
      <c r="R14" s="565"/>
      <c r="S14" s="565"/>
      <c r="T14" s="565"/>
      <c r="U14" s="731">
        <f t="shared" ref="U14:U20" si="1">M14</f>
        <v>37.945999999999998</v>
      </c>
      <c r="V14" s="656"/>
      <c r="W14" s="779">
        <f>U14+G14</f>
        <v>40.004999999999995</v>
      </c>
      <c r="X14" s="668" t="s">
        <v>634</v>
      </c>
    </row>
    <row r="15" spans="1:24">
      <c r="A15" s="421" t="s">
        <v>635</v>
      </c>
      <c r="B15" s="106" t="s">
        <v>636</v>
      </c>
      <c r="C15" s="422" t="s">
        <v>637</v>
      </c>
      <c r="D15" s="422" t="s">
        <v>80</v>
      </c>
      <c r="E15" s="423" t="s">
        <v>633</v>
      </c>
      <c r="F15" s="88"/>
      <c r="G15" s="566">
        <v>0.15</v>
      </c>
      <c r="H15" s="656"/>
      <c r="I15" s="621">
        <v>9.9730000000000008</v>
      </c>
      <c r="J15" s="622">
        <v>20.041</v>
      </c>
      <c r="K15" s="690">
        <v>2.4649999999999999</v>
      </c>
      <c r="L15" s="656"/>
      <c r="M15" s="734">
        <f t="shared" si="0"/>
        <v>32.478999999999999</v>
      </c>
      <c r="N15" s="565"/>
      <c r="O15" s="565"/>
      <c r="P15" s="565"/>
      <c r="Q15" s="565"/>
      <c r="R15" s="565"/>
      <c r="S15" s="565"/>
      <c r="T15" s="565"/>
      <c r="U15" s="734">
        <f t="shared" si="1"/>
        <v>32.478999999999999</v>
      </c>
      <c r="V15" s="656"/>
      <c r="W15" s="780">
        <f t="shared" ref="W15:W20" si="2">U15+G15</f>
        <v>32.628999999999998</v>
      </c>
      <c r="X15" s="669" t="s">
        <v>634</v>
      </c>
    </row>
    <row r="16" spans="1:24">
      <c r="A16" s="421" t="s">
        <v>638</v>
      </c>
      <c r="B16" s="106" t="s">
        <v>639</v>
      </c>
      <c r="C16" s="422" t="s">
        <v>640</v>
      </c>
      <c r="D16" s="422" t="s">
        <v>80</v>
      </c>
      <c r="E16" s="423" t="s">
        <v>633</v>
      </c>
      <c r="F16" s="88"/>
      <c r="G16" s="566">
        <v>2.9289999999999998</v>
      </c>
      <c r="H16" s="656"/>
      <c r="I16" s="621">
        <v>3.67</v>
      </c>
      <c r="J16" s="622">
        <v>4.2380000000000004</v>
      </c>
      <c r="K16" s="690">
        <v>6.2539999999999996</v>
      </c>
      <c r="L16" s="656"/>
      <c r="M16" s="734">
        <f t="shared" si="0"/>
        <v>14.161999999999999</v>
      </c>
      <c r="N16" s="565"/>
      <c r="O16" s="565"/>
      <c r="P16" s="565"/>
      <c r="Q16" s="565"/>
      <c r="R16" s="565"/>
      <c r="S16" s="565"/>
      <c r="T16" s="565"/>
      <c r="U16" s="734">
        <f t="shared" si="1"/>
        <v>14.161999999999999</v>
      </c>
      <c r="V16" s="656"/>
      <c r="W16" s="780">
        <f t="shared" si="2"/>
        <v>17.090999999999998</v>
      </c>
      <c r="X16" s="669" t="s">
        <v>634</v>
      </c>
    </row>
    <row r="17" spans="1:26">
      <c r="A17" s="424" t="s">
        <v>641</v>
      </c>
      <c r="B17" s="106" t="s">
        <v>784</v>
      </c>
      <c r="C17" s="422"/>
      <c r="D17" s="422" t="s">
        <v>80</v>
      </c>
      <c r="E17" s="423" t="s">
        <v>633</v>
      </c>
      <c r="F17" s="92"/>
      <c r="G17" s="566">
        <v>0</v>
      </c>
      <c r="H17" s="656"/>
      <c r="I17" s="691">
        <v>14.315</v>
      </c>
      <c r="J17" s="692">
        <v>80.489999999999995</v>
      </c>
      <c r="K17" s="690">
        <v>63.649000000000001</v>
      </c>
      <c r="L17" s="656"/>
      <c r="M17" s="781">
        <f>SUM(I17:K17)</f>
        <v>158.45400000000001</v>
      </c>
      <c r="N17" s="656"/>
      <c r="O17" s="656"/>
      <c r="P17" s="656"/>
      <c r="Q17" s="656"/>
      <c r="R17" s="656"/>
      <c r="S17" s="656"/>
      <c r="T17" s="656"/>
      <c r="U17" s="781">
        <f t="shared" si="1"/>
        <v>158.45400000000001</v>
      </c>
      <c r="V17" s="656"/>
      <c r="W17" s="780">
        <f t="shared" si="2"/>
        <v>158.45400000000001</v>
      </c>
      <c r="X17" s="670" t="s">
        <v>634</v>
      </c>
      <c r="Z17" s="565"/>
    </row>
    <row r="18" spans="1:26">
      <c r="A18" s="421" t="s">
        <v>644</v>
      </c>
      <c r="B18" s="106" t="s">
        <v>785</v>
      </c>
      <c r="C18" s="425"/>
      <c r="D18" s="422" t="s">
        <v>80</v>
      </c>
      <c r="E18" s="423" t="s">
        <v>633</v>
      </c>
      <c r="F18" s="92"/>
      <c r="G18" s="566">
        <v>0</v>
      </c>
      <c r="H18" s="656"/>
      <c r="I18" s="621">
        <v>0.32400000000000001</v>
      </c>
      <c r="J18" s="622">
        <v>3.1509999999999998</v>
      </c>
      <c r="K18" s="690">
        <v>6.4690000000000003</v>
      </c>
      <c r="L18" s="656"/>
      <c r="M18" s="734">
        <f t="shared" si="0"/>
        <v>9.9439999999999991</v>
      </c>
      <c r="N18" s="565"/>
      <c r="O18" s="565"/>
      <c r="P18" s="565"/>
      <c r="Q18" s="565"/>
      <c r="R18" s="565"/>
      <c r="S18" s="565"/>
      <c r="T18" s="565"/>
      <c r="U18" s="734">
        <f t="shared" si="1"/>
        <v>9.9439999999999991</v>
      </c>
      <c r="V18" s="656"/>
      <c r="W18" s="780">
        <f t="shared" si="2"/>
        <v>9.9439999999999991</v>
      </c>
      <c r="X18" s="669" t="s">
        <v>634</v>
      </c>
      <c r="Z18" s="565"/>
    </row>
    <row r="19" spans="1:26">
      <c r="A19" s="421" t="s">
        <v>647</v>
      </c>
      <c r="B19" s="106" t="s">
        <v>642</v>
      </c>
      <c r="C19" s="422" t="s">
        <v>643</v>
      </c>
      <c r="D19" s="422" t="s">
        <v>80</v>
      </c>
      <c r="E19" s="423" t="s">
        <v>633</v>
      </c>
      <c r="F19" s="88"/>
      <c r="G19" s="566">
        <v>0.193</v>
      </c>
      <c r="H19" s="656"/>
      <c r="I19" s="621">
        <v>1.5189999999999999</v>
      </c>
      <c r="J19" s="622">
        <v>4.9029999999999996</v>
      </c>
      <c r="K19" s="690">
        <v>1.5089999999999999</v>
      </c>
      <c r="L19" s="656"/>
      <c r="M19" s="734">
        <f t="shared" si="0"/>
        <v>7.9309999999999992</v>
      </c>
      <c r="N19" s="565"/>
      <c r="O19" s="565"/>
      <c r="P19" s="565"/>
      <c r="Q19" s="565"/>
      <c r="R19" s="565"/>
      <c r="S19" s="565"/>
      <c r="T19" s="565"/>
      <c r="U19" s="734">
        <f t="shared" si="1"/>
        <v>7.9309999999999992</v>
      </c>
      <c r="V19" s="656"/>
      <c r="W19" s="780">
        <f t="shared" si="2"/>
        <v>8.1239999999999988</v>
      </c>
      <c r="X19" s="669" t="s">
        <v>634</v>
      </c>
    </row>
    <row r="20" spans="1:26" ht="13" thickBot="1">
      <c r="A20" s="426" t="s">
        <v>650</v>
      </c>
      <c r="B20" s="107" t="s">
        <v>645</v>
      </c>
      <c r="C20" s="91" t="s">
        <v>646</v>
      </c>
      <c r="D20" s="91" t="s">
        <v>80</v>
      </c>
      <c r="E20" s="427" t="s">
        <v>633</v>
      </c>
      <c r="F20" s="88"/>
      <c r="G20" s="581">
        <v>1.0999999999999999E-2</v>
      </c>
      <c r="H20" s="656"/>
      <c r="I20" s="634">
        <v>2.9820000000000002</v>
      </c>
      <c r="J20" s="623">
        <v>6.3250000000000002</v>
      </c>
      <c r="K20" s="624">
        <v>8.6999999999999994E-2</v>
      </c>
      <c r="L20" s="656"/>
      <c r="M20" s="738">
        <f>I20+J20+K20</f>
        <v>9.3940000000000001</v>
      </c>
      <c r="N20" s="565"/>
      <c r="O20" s="565"/>
      <c r="P20" s="565"/>
      <c r="Q20" s="565"/>
      <c r="R20" s="565"/>
      <c r="S20" s="565"/>
      <c r="T20" s="565"/>
      <c r="U20" s="738">
        <f t="shared" si="1"/>
        <v>9.3940000000000001</v>
      </c>
      <c r="V20" s="656"/>
      <c r="W20" s="782">
        <f t="shared" si="2"/>
        <v>9.4049999999999994</v>
      </c>
      <c r="X20" s="671" t="s">
        <v>634</v>
      </c>
    </row>
    <row r="21" spans="1:26" ht="13" thickBot="1">
      <c r="A21" s="428"/>
      <c r="B21" s="140"/>
      <c r="C21" s="429"/>
      <c r="D21" s="429"/>
      <c r="E21" s="429"/>
      <c r="F21" s="88"/>
      <c r="G21" s="565"/>
      <c r="H21" s="656"/>
      <c r="I21" s="616"/>
      <c r="J21" s="617"/>
      <c r="K21" s="632"/>
      <c r="L21" s="656"/>
      <c r="M21" s="565"/>
      <c r="N21" s="565"/>
      <c r="O21" s="565"/>
      <c r="P21" s="565"/>
      <c r="Q21" s="565"/>
      <c r="R21" s="565"/>
      <c r="S21" s="565"/>
      <c r="T21" s="565"/>
      <c r="U21" s="565"/>
      <c r="V21" s="656"/>
      <c r="W21" s="783"/>
      <c r="X21" s="672"/>
    </row>
    <row r="22" spans="1:26" ht="13" thickBot="1">
      <c r="A22" s="430" t="s">
        <v>652</v>
      </c>
      <c r="B22" s="139" t="s">
        <v>651</v>
      </c>
      <c r="C22" s="431"/>
      <c r="D22" s="431" t="s">
        <v>80</v>
      </c>
      <c r="E22" s="432" t="s">
        <v>633</v>
      </c>
      <c r="F22" s="88"/>
      <c r="G22" s="565"/>
      <c r="H22" s="656"/>
      <c r="I22" s="616"/>
      <c r="J22" s="617"/>
      <c r="K22" s="632"/>
      <c r="L22" s="656"/>
      <c r="M22" s="580">
        <v>0</v>
      </c>
      <c r="N22" s="565"/>
      <c r="O22" s="565"/>
      <c r="P22" s="565"/>
      <c r="Q22" s="565"/>
      <c r="R22" s="565"/>
      <c r="S22" s="565"/>
      <c r="T22" s="565"/>
      <c r="U22" s="731">
        <f>M22</f>
        <v>0</v>
      </c>
      <c r="V22" s="656"/>
      <c r="W22" s="779">
        <f>U22+G22</f>
        <v>0</v>
      </c>
      <c r="X22" s="668" t="s">
        <v>634</v>
      </c>
    </row>
    <row r="23" spans="1:26" ht="13" thickBot="1">
      <c r="A23" s="421" t="s">
        <v>654</v>
      </c>
      <c r="B23" s="106" t="s">
        <v>653</v>
      </c>
      <c r="C23" s="422"/>
      <c r="D23" s="422" t="s">
        <v>80</v>
      </c>
      <c r="E23" s="423" t="s">
        <v>633</v>
      </c>
      <c r="F23" s="88"/>
      <c r="G23" s="565"/>
      <c r="H23" s="656"/>
      <c r="I23" s="625">
        <v>0</v>
      </c>
      <c r="J23" s="617"/>
      <c r="K23" s="632"/>
      <c r="L23" s="656"/>
      <c r="M23" s="734">
        <f>I23</f>
        <v>0</v>
      </c>
      <c r="N23" s="565"/>
      <c r="O23" s="565"/>
      <c r="P23" s="565"/>
      <c r="Q23" s="565"/>
      <c r="R23" s="565"/>
      <c r="S23" s="565"/>
      <c r="T23" s="565"/>
      <c r="U23" s="734">
        <f>M23</f>
        <v>0</v>
      </c>
      <c r="V23" s="656"/>
      <c r="W23" s="780">
        <f>U23+G23</f>
        <v>0</v>
      </c>
      <c r="X23" s="669" t="s">
        <v>634</v>
      </c>
    </row>
    <row r="24" spans="1:26" ht="13" thickBot="1">
      <c r="A24" s="426" t="s">
        <v>657</v>
      </c>
      <c r="B24" s="107" t="s">
        <v>655</v>
      </c>
      <c r="C24" s="91" t="s">
        <v>656</v>
      </c>
      <c r="D24" s="91" t="s">
        <v>80</v>
      </c>
      <c r="E24" s="427" t="s">
        <v>633</v>
      </c>
      <c r="F24" s="88"/>
      <c r="G24" s="579">
        <v>0.27900000000000003</v>
      </c>
      <c r="H24" s="656"/>
      <c r="I24" s="634">
        <v>1.2589999999999999</v>
      </c>
      <c r="J24" s="626">
        <v>1.524</v>
      </c>
      <c r="K24" s="627">
        <v>0.21099999999999999</v>
      </c>
      <c r="L24" s="656"/>
      <c r="M24" s="738">
        <f>SUM(I24:K24)</f>
        <v>2.9939999999999998</v>
      </c>
      <c r="N24" s="608"/>
      <c r="O24" s="565"/>
      <c r="P24" s="565"/>
      <c r="Q24" s="565"/>
      <c r="R24" s="565"/>
      <c r="S24" s="565"/>
      <c r="T24" s="565"/>
      <c r="U24" s="738">
        <f>M24</f>
        <v>2.9939999999999998</v>
      </c>
      <c r="V24" s="656"/>
      <c r="W24" s="782">
        <f>U24+G24</f>
        <v>3.2729999999999997</v>
      </c>
      <c r="X24" s="671" t="s">
        <v>634</v>
      </c>
    </row>
    <row r="25" spans="1:26" ht="16" thickBot="1">
      <c r="F25" s="88"/>
      <c r="G25" s="565"/>
      <c r="H25" s="656"/>
      <c r="I25" s="616"/>
      <c r="J25" s="617"/>
      <c r="K25" s="632"/>
      <c r="L25" s="656"/>
      <c r="M25" s="565"/>
      <c r="N25" s="592"/>
      <c r="O25" s="565"/>
      <c r="P25" s="565"/>
      <c r="Q25" s="565"/>
      <c r="R25" s="565"/>
      <c r="S25" s="565"/>
      <c r="T25" s="565"/>
      <c r="U25" s="565"/>
      <c r="V25" s="656"/>
      <c r="W25" s="656"/>
      <c r="X25" s="667"/>
    </row>
    <row r="26" spans="1:26" ht="15.5">
      <c r="A26" s="433" t="s">
        <v>659</v>
      </c>
      <c r="B26" s="108" t="s">
        <v>658</v>
      </c>
      <c r="C26" s="434"/>
      <c r="D26" s="434" t="s">
        <v>80</v>
      </c>
      <c r="E26" s="435" t="s">
        <v>633</v>
      </c>
      <c r="F26" s="88"/>
      <c r="G26" s="580">
        <v>0</v>
      </c>
      <c r="H26" s="656"/>
      <c r="I26" s="616"/>
      <c r="J26" s="617"/>
      <c r="K26" s="632"/>
      <c r="L26" s="656"/>
      <c r="M26" s="565"/>
      <c r="N26" s="740"/>
      <c r="O26" s="580">
        <v>0</v>
      </c>
      <c r="P26" s="565"/>
      <c r="Q26" s="567">
        <v>0</v>
      </c>
      <c r="R26" s="568">
        <v>0</v>
      </c>
      <c r="S26" s="784">
        <f t="shared" ref="S26:S31" si="3">Q26+R26</f>
        <v>0</v>
      </c>
      <c r="T26" s="565"/>
      <c r="U26" s="731">
        <f t="shared" ref="U26:U45" si="4">S26+O26</f>
        <v>0</v>
      </c>
      <c r="V26" s="656"/>
      <c r="W26" s="785">
        <f t="shared" ref="W26:W45" si="5">U26+G26</f>
        <v>0</v>
      </c>
      <c r="X26" s="673" t="s">
        <v>634</v>
      </c>
    </row>
    <row r="27" spans="1:26">
      <c r="A27" s="424" t="s">
        <v>661</v>
      </c>
      <c r="B27" s="106" t="s">
        <v>660</v>
      </c>
      <c r="C27" s="422"/>
      <c r="D27" s="422" t="s">
        <v>80</v>
      </c>
      <c r="E27" s="423" t="s">
        <v>633</v>
      </c>
      <c r="F27" s="88"/>
      <c r="G27" s="566">
        <v>0</v>
      </c>
      <c r="H27" s="656"/>
      <c r="I27" s="616"/>
      <c r="J27" s="617"/>
      <c r="K27" s="632"/>
      <c r="L27" s="656"/>
      <c r="M27" s="565"/>
      <c r="N27" s="565"/>
      <c r="O27" s="566">
        <v>0</v>
      </c>
      <c r="P27" s="565"/>
      <c r="Q27" s="569">
        <v>0.78600000000000003</v>
      </c>
      <c r="R27" s="570">
        <v>0.155</v>
      </c>
      <c r="S27" s="786">
        <f t="shared" si="3"/>
        <v>0.94100000000000006</v>
      </c>
      <c r="T27" s="565"/>
      <c r="U27" s="734">
        <f t="shared" si="4"/>
        <v>0.94100000000000006</v>
      </c>
      <c r="V27" s="656"/>
      <c r="W27" s="787">
        <f t="shared" si="5"/>
        <v>0.94100000000000006</v>
      </c>
      <c r="X27" s="674" t="s">
        <v>634</v>
      </c>
    </row>
    <row r="28" spans="1:26">
      <c r="A28" s="424" t="s">
        <v>663</v>
      </c>
      <c r="B28" s="106" t="s">
        <v>786</v>
      </c>
      <c r="C28" s="360"/>
      <c r="D28" s="422" t="s">
        <v>80</v>
      </c>
      <c r="E28" s="423" t="s">
        <v>633</v>
      </c>
      <c r="F28" s="88"/>
      <c r="G28" s="566">
        <v>7.0000000000000001E-3</v>
      </c>
      <c r="H28" s="656"/>
      <c r="I28" s="616"/>
      <c r="J28" s="617"/>
      <c r="K28" s="617"/>
      <c r="L28" s="656"/>
      <c r="M28" s="656"/>
      <c r="N28" s="656"/>
      <c r="O28" s="566">
        <v>9.5990000000000002</v>
      </c>
      <c r="P28" s="656"/>
      <c r="Q28" s="569">
        <v>0.159</v>
      </c>
      <c r="R28" s="570">
        <v>3.1E-2</v>
      </c>
      <c r="S28" s="788">
        <f t="shared" si="3"/>
        <v>0.19</v>
      </c>
      <c r="T28" s="656"/>
      <c r="U28" s="781">
        <f t="shared" si="4"/>
        <v>9.7889999999999997</v>
      </c>
      <c r="V28" s="656"/>
      <c r="W28" s="780">
        <f t="shared" si="5"/>
        <v>9.7959999999999994</v>
      </c>
      <c r="X28" s="675" t="s">
        <v>634</v>
      </c>
    </row>
    <row r="29" spans="1:26">
      <c r="A29" s="424" t="s">
        <v>665</v>
      </c>
      <c r="B29" s="106" t="s">
        <v>664</v>
      </c>
      <c r="C29" s="360"/>
      <c r="D29" s="422" t="s">
        <v>80</v>
      </c>
      <c r="E29" s="423" t="s">
        <v>633</v>
      </c>
      <c r="F29" s="88"/>
      <c r="G29" s="566">
        <v>0</v>
      </c>
      <c r="H29" s="656"/>
      <c r="I29" s="616"/>
      <c r="J29" s="617"/>
      <c r="K29" s="617"/>
      <c r="L29" s="656"/>
      <c r="M29" s="656"/>
      <c r="N29" s="656"/>
      <c r="O29" s="566">
        <v>0</v>
      </c>
      <c r="P29" s="656"/>
      <c r="Q29" s="569">
        <v>0.18099999999999999</v>
      </c>
      <c r="R29" s="570">
        <v>3.5999999999999997E-2</v>
      </c>
      <c r="S29" s="788">
        <f t="shared" si="3"/>
        <v>0.217</v>
      </c>
      <c r="T29" s="656"/>
      <c r="U29" s="781">
        <f t="shared" si="4"/>
        <v>0.217</v>
      </c>
      <c r="V29" s="656"/>
      <c r="W29" s="780">
        <f t="shared" si="5"/>
        <v>0.217</v>
      </c>
      <c r="X29" s="675" t="s">
        <v>634</v>
      </c>
    </row>
    <row r="30" spans="1:26">
      <c r="A30" s="424" t="s">
        <v>667</v>
      </c>
      <c r="B30" s="106" t="s">
        <v>666</v>
      </c>
      <c r="C30" s="422"/>
      <c r="D30" s="422" t="s">
        <v>80</v>
      </c>
      <c r="E30" s="423" t="s">
        <v>633</v>
      </c>
      <c r="F30" s="88"/>
      <c r="G30" s="566">
        <v>0</v>
      </c>
      <c r="H30" s="656"/>
      <c r="I30" s="616"/>
      <c r="J30" s="617"/>
      <c r="K30" s="617"/>
      <c r="L30" s="656"/>
      <c r="M30" s="656"/>
      <c r="N30" s="656"/>
      <c r="O30" s="566">
        <v>0</v>
      </c>
      <c r="P30" s="656"/>
      <c r="Q30" s="569">
        <v>0</v>
      </c>
      <c r="R30" s="570">
        <v>0</v>
      </c>
      <c r="S30" s="789">
        <f t="shared" si="3"/>
        <v>0</v>
      </c>
      <c r="T30" s="656"/>
      <c r="U30" s="781">
        <f t="shared" si="4"/>
        <v>0</v>
      </c>
      <c r="V30" s="656"/>
      <c r="W30" s="787">
        <f t="shared" si="5"/>
        <v>0</v>
      </c>
      <c r="X30" s="674" t="s">
        <v>634</v>
      </c>
    </row>
    <row r="31" spans="1:26" ht="13" thickBot="1">
      <c r="A31" s="424" t="s">
        <v>669</v>
      </c>
      <c r="B31" s="106" t="s">
        <v>668</v>
      </c>
      <c r="C31" s="422"/>
      <c r="D31" s="422" t="s">
        <v>80</v>
      </c>
      <c r="E31" s="423" t="s">
        <v>633</v>
      </c>
      <c r="F31" s="88"/>
      <c r="G31" s="566">
        <v>0</v>
      </c>
      <c r="H31" s="656"/>
      <c r="I31" s="616"/>
      <c r="J31" s="617"/>
      <c r="K31" s="617"/>
      <c r="L31" s="656"/>
      <c r="M31" s="656"/>
      <c r="N31" s="656"/>
      <c r="O31" s="566">
        <v>0</v>
      </c>
      <c r="P31" s="656"/>
      <c r="Q31" s="569">
        <v>0</v>
      </c>
      <c r="R31" s="571">
        <v>0</v>
      </c>
      <c r="S31" s="788">
        <f t="shared" si="3"/>
        <v>0</v>
      </c>
      <c r="T31" s="656"/>
      <c r="U31" s="781">
        <f t="shared" si="4"/>
        <v>0</v>
      </c>
      <c r="V31" s="656"/>
      <c r="W31" s="787">
        <f t="shared" si="5"/>
        <v>0</v>
      </c>
      <c r="X31" s="674" t="s">
        <v>634</v>
      </c>
    </row>
    <row r="32" spans="1:26">
      <c r="A32" s="424" t="s">
        <v>671</v>
      </c>
      <c r="B32" s="106" t="s">
        <v>670</v>
      </c>
      <c r="C32" s="422"/>
      <c r="D32" s="422" t="s">
        <v>80</v>
      </c>
      <c r="E32" s="423" t="s">
        <v>633</v>
      </c>
      <c r="F32" s="88"/>
      <c r="G32" s="566">
        <v>0</v>
      </c>
      <c r="H32" s="656"/>
      <c r="I32" s="616"/>
      <c r="J32" s="617"/>
      <c r="K32" s="617"/>
      <c r="L32" s="656"/>
      <c r="M32" s="656"/>
      <c r="N32" s="656"/>
      <c r="O32" s="566">
        <v>0</v>
      </c>
      <c r="P32" s="656"/>
      <c r="Q32" s="569">
        <v>0</v>
      </c>
      <c r="R32" s="644"/>
      <c r="S32" s="781">
        <f>Q32</f>
        <v>0</v>
      </c>
      <c r="T32" s="656"/>
      <c r="U32" s="781">
        <f t="shared" si="4"/>
        <v>0</v>
      </c>
      <c r="V32" s="656"/>
      <c r="W32" s="787">
        <f t="shared" si="5"/>
        <v>0</v>
      </c>
      <c r="X32" s="674" t="s">
        <v>634</v>
      </c>
    </row>
    <row r="33" spans="1:26">
      <c r="A33" s="424" t="s">
        <v>673</v>
      </c>
      <c r="B33" s="106" t="s">
        <v>787</v>
      </c>
      <c r="C33" s="422"/>
      <c r="D33" s="422" t="s">
        <v>80</v>
      </c>
      <c r="E33" s="423"/>
      <c r="F33" s="88"/>
      <c r="G33" s="566">
        <v>0</v>
      </c>
      <c r="H33" s="656"/>
      <c r="I33" s="616"/>
      <c r="J33" s="617"/>
      <c r="K33" s="617"/>
      <c r="L33" s="656"/>
      <c r="M33" s="656"/>
      <c r="N33" s="656"/>
      <c r="O33" s="566">
        <v>0</v>
      </c>
      <c r="P33" s="656"/>
      <c r="Q33" s="569">
        <v>0</v>
      </c>
      <c r="R33" s="644"/>
      <c r="S33" s="781">
        <f>Q33</f>
        <v>0</v>
      </c>
      <c r="T33" s="656"/>
      <c r="U33" s="781">
        <f t="shared" si="4"/>
        <v>0</v>
      </c>
      <c r="V33" s="656"/>
      <c r="W33" s="787">
        <f t="shared" si="5"/>
        <v>0</v>
      </c>
      <c r="X33" s="674" t="s">
        <v>634</v>
      </c>
    </row>
    <row r="34" spans="1:26">
      <c r="A34" s="424" t="s">
        <v>675</v>
      </c>
      <c r="B34" s="106" t="s">
        <v>674</v>
      </c>
      <c r="C34" s="422"/>
      <c r="D34" s="422" t="s">
        <v>80</v>
      </c>
      <c r="E34" s="423" t="s">
        <v>633</v>
      </c>
      <c r="F34" s="88"/>
      <c r="G34" s="566">
        <v>0</v>
      </c>
      <c r="H34" s="656"/>
      <c r="I34" s="616"/>
      <c r="J34" s="617"/>
      <c r="K34" s="617"/>
      <c r="L34" s="656"/>
      <c r="M34" s="656"/>
      <c r="N34" s="656"/>
      <c r="O34" s="566">
        <v>0</v>
      </c>
      <c r="P34" s="656"/>
      <c r="Q34" s="569">
        <v>0</v>
      </c>
      <c r="R34" s="644"/>
      <c r="S34" s="781">
        <f>Q34</f>
        <v>0</v>
      </c>
      <c r="T34" s="656"/>
      <c r="U34" s="781">
        <f t="shared" si="4"/>
        <v>0</v>
      </c>
      <c r="V34" s="656"/>
      <c r="W34" s="787">
        <f t="shared" si="5"/>
        <v>0</v>
      </c>
      <c r="X34" s="674" t="s">
        <v>634</v>
      </c>
    </row>
    <row r="35" spans="1:26" ht="13" thickBot="1">
      <c r="A35" s="424" t="s">
        <v>677</v>
      </c>
      <c r="B35" s="106" t="s">
        <v>676</v>
      </c>
      <c r="C35" s="422"/>
      <c r="D35" s="422" t="s">
        <v>80</v>
      </c>
      <c r="E35" s="423" t="s">
        <v>633</v>
      </c>
      <c r="F35" s="88"/>
      <c r="G35" s="566">
        <v>0</v>
      </c>
      <c r="H35" s="656"/>
      <c r="I35" s="616"/>
      <c r="J35" s="617"/>
      <c r="K35" s="617"/>
      <c r="L35" s="656"/>
      <c r="M35" s="656"/>
      <c r="N35" s="656"/>
      <c r="O35" s="566">
        <v>0</v>
      </c>
      <c r="P35" s="656"/>
      <c r="Q35" s="569">
        <v>0</v>
      </c>
      <c r="R35" s="645"/>
      <c r="S35" s="781">
        <f>Q35</f>
        <v>0</v>
      </c>
      <c r="T35" s="656"/>
      <c r="U35" s="781">
        <f t="shared" si="4"/>
        <v>0</v>
      </c>
      <c r="V35" s="656"/>
      <c r="W35" s="787">
        <f t="shared" si="5"/>
        <v>0</v>
      </c>
      <c r="X35" s="674" t="s">
        <v>634</v>
      </c>
    </row>
    <row r="36" spans="1:26">
      <c r="A36" s="424" t="s">
        <v>679</v>
      </c>
      <c r="B36" s="106" t="s">
        <v>678</v>
      </c>
      <c r="C36" s="422"/>
      <c r="D36" s="422" t="s">
        <v>80</v>
      </c>
      <c r="E36" s="423" t="s">
        <v>633</v>
      </c>
      <c r="F36" s="88"/>
      <c r="G36" s="566">
        <v>0</v>
      </c>
      <c r="H36" s="656"/>
      <c r="I36" s="616"/>
      <c r="J36" s="617"/>
      <c r="K36" s="617"/>
      <c r="L36" s="656"/>
      <c r="M36" s="656"/>
      <c r="N36" s="656"/>
      <c r="O36" s="566">
        <v>0</v>
      </c>
      <c r="P36" s="656"/>
      <c r="Q36" s="569">
        <v>0</v>
      </c>
      <c r="R36" s="568">
        <v>0</v>
      </c>
      <c r="S36" s="789">
        <f t="shared" ref="S36:S45" si="6">Q36+R36</f>
        <v>0</v>
      </c>
      <c r="T36" s="656"/>
      <c r="U36" s="781">
        <f t="shared" si="4"/>
        <v>0</v>
      </c>
      <c r="V36" s="656"/>
      <c r="W36" s="787">
        <f t="shared" si="5"/>
        <v>0</v>
      </c>
      <c r="X36" s="674" t="s">
        <v>634</v>
      </c>
    </row>
    <row r="37" spans="1:26">
      <c r="A37" s="424" t="s">
        <v>681</v>
      </c>
      <c r="B37" s="106" t="s">
        <v>680</v>
      </c>
      <c r="C37" s="422"/>
      <c r="D37" s="422" t="s">
        <v>80</v>
      </c>
      <c r="E37" s="423" t="s">
        <v>633</v>
      </c>
      <c r="F37" s="88"/>
      <c r="G37" s="566">
        <v>7.0000000000000001E-3</v>
      </c>
      <c r="H37" s="656"/>
      <c r="I37" s="616"/>
      <c r="J37" s="617"/>
      <c r="K37" s="617"/>
      <c r="L37" s="656"/>
      <c r="M37" s="656"/>
      <c r="N37" s="656"/>
      <c r="O37" s="566">
        <v>0</v>
      </c>
      <c r="P37" s="656"/>
      <c r="Q37" s="569">
        <v>0</v>
      </c>
      <c r="R37" s="570">
        <v>0</v>
      </c>
      <c r="S37" s="789">
        <f t="shared" si="6"/>
        <v>0</v>
      </c>
      <c r="T37" s="656"/>
      <c r="U37" s="781">
        <f t="shared" si="4"/>
        <v>0</v>
      </c>
      <c r="V37" s="656"/>
      <c r="W37" s="787">
        <f t="shared" si="5"/>
        <v>7.0000000000000001E-3</v>
      </c>
      <c r="X37" s="674" t="s">
        <v>634</v>
      </c>
      <c r="Z37" s="238"/>
    </row>
    <row r="38" spans="1:26">
      <c r="A38" s="424" t="s">
        <v>683</v>
      </c>
      <c r="B38" s="106" t="s">
        <v>682</v>
      </c>
      <c r="C38" s="422"/>
      <c r="D38" s="422" t="s">
        <v>80</v>
      </c>
      <c r="E38" s="423" t="s">
        <v>633</v>
      </c>
      <c r="F38" s="88"/>
      <c r="G38" s="566">
        <v>0</v>
      </c>
      <c r="H38" s="656"/>
      <c r="I38" s="616"/>
      <c r="J38" s="617"/>
      <c r="K38" s="617"/>
      <c r="L38" s="656"/>
      <c r="M38" s="656"/>
      <c r="N38" s="656"/>
      <c r="O38" s="566">
        <v>0</v>
      </c>
      <c r="P38" s="656"/>
      <c r="Q38" s="569">
        <v>0</v>
      </c>
      <c r="R38" s="570">
        <v>0</v>
      </c>
      <c r="S38" s="789">
        <f t="shared" si="6"/>
        <v>0</v>
      </c>
      <c r="T38" s="656"/>
      <c r="U38" s="781">
        <f t="shared" si="4"/>
        <v>0</v>
      </c>
      <c r="V38" s="656"/>
      <c r="W38" s="787">
        <f t="shared" si="5"/>
        <v>0</v>
      </c>
      <c r="X38" s="675" t="s">
        <v>634</v>
      </c>
    </row>
    <row r="39" spans="1:26">
      <c r="A39" s="424" t="s">
        <v>685</v>
      </c>
      <c r="B39" s="106" t="s">
        <v>684</v>
      </c>
      <c r="C39" s="422"/>
      <c r="D39" s="422" t="s">
        <v>80</v>
      </c>
      <c r="E39" s="423" t="s">
        <v>633</v>
      </c>
      <c r="F39" s="88"/>
      <c r="G39" s="566">
        <v>0</v>
      </c>
      <c r="H39" s="656"/>
      <c r="I39" s="616"/>
      <c r="J39" s="617"/>
      <c r="K39" s="617"/>
      <c r="L39" s="656"/>
      <c r="M39" s="656"/>
      <c r="N39" s="656"/>
      <c r="O39" s="566">
        <v>0</v>
      </c>
      <c r="P39" s="656"/>
      <c r="Q39" s="569">
        <v>0</v>
      </c>
      <c r="R39" s="570">
        <v>0</v>
      </c>
      <c r="S39" s="789">
        <f t="shared" si="6"/>
        <v>0</v>
      </c>
      <c r="T39" s="656"/>
      <c r="U39" s="781">
        <f t="shared" si="4"/>
        <v>0</v>
      </c>
      <c r="V39" s="656"/>
      <c r="W39" s="787">
        <f t="shared" si="5"/>
        <v>0</v>
      </c>
      <c r="X39" s="675" t="s">
        <v>634</v>
      </c>
    </row>
    <row r="40" spans="1:26">
      <c r="A40" s="424" t="s">
        <v>687</v>
      </c>
      <c r="B40" s="106" t="s">
        <v>686</v>
      </c>
      <c r="C40" s="422"/>
      <c r="D40" s="422" t="s">
        <v>80</v>
      </c>
      <c r="E40" s="423" t="s">
        <v>633</v>
      </c>
      <c r="F40" s="88"/>
      <c r="G40" s="566">
        <v>0</v>
      </c>
      <c r="H40" s="656"/>
      <c r="I40" s="616"/>
      <c r="J40" s="617"/>
      <c r="K40" s="617"/>
      <c r="L40" s="656"/>
      <c r="M40" s="656"/>
      <c r="N40" s="656"/>
      <c r="O40" s="566">
        <v>0</v>
      </c>
      <c r="P40" s="656"/>
      <c r="Q40" s="569">
        <v>0</v>
      </c>
      <c r="R40" s="570">
        <v>0</v>
      </c>
      <c r="S40" s="789">
        <f t="shared" si="6"/>
        <v>0</v>
      </c>
      <c r="T40" s="656"/>
      <c r="U40" s="781">
        <f t="shared" si="4"/>
        <v>0</v>
      </c>
      <c r="V40" s="656"/>
      <c r="W40" s="787">
        <f t="shared" si="5"/>
        <v>0</v>
      </c>
      <c r="X40" s="674" t="s">
        <v>634</v>
      </c>
    </row>
    <row r="41" spans="1:26">
      <c r="A41" s="424" t="s">
        <v>689</v>
      </c>
      <c r="B41" s="106" t="s">
        <v>688</v>
      </c>
      <c r="C41" s="422"/>
      <c r="D41" s="422" t="s">
        <v>80</v>
      </c>
      <c r="E41" s="423" t="s">
        <v>633</v>
      </c>
      <c r="F41" s="88"/>
      <c r="G41" s="566">
        <v>4.0000000000000001E-3</v>
      </c>
      <c r="H41" s="656"/>
      <c r="I41" s="616"/>
      <c r="J41" s="617"/>
      <c r="K41" s="617"/>
      <c r="L41" s="656"/>
      <c r="M41" s="656"/>
      <c r="N41" s="656"/>
      <c r="O41" s="566">
        <v>0.19900000000000001</v>
      </c>
      <c r="P41" s="656"/>
      <c r="Q41" s="569">
        <v>0</v>
      </c>
      <c r="R41" s="570">
        <v>0</v>
      </c>
      <c r="S41" s="789">
        <f t="shared" si="6"/>
        <v>0</v>
      </c>
      <c r="T41" s="656"/>
      <c r="U41" s="781">
        <f t="shared" si="4"/>
        <v>0.19900000000000001</v>
      </c>
      <c r="V41" s="656"/>
      <c r="W41" s="787">
        <f t="shared" si="5"/>
        <v>0.20300000000000001</v>
      </c>
      <c r="X41" s="674" t="s">
        <v>634</v>
      </c>
    </row>
    <row r="42" spans="1:26">
      <c r="A42" s="424" t="s">
        <v>691</v>
      </c>
      <c r="B42" s="106" t="s">
        <v>690</v>
      </c>
      <c r="C42" s="422"/>
      <c r="D42" s="422" t="s">
        <v>80</v>
      </c>
      <c r="E42" s="423" t="s">
        <v>633</v>
      </c>
      <c r="F42" s="88"/>
      <c r="G42" s="566">
        <v>0</v>
      </c>
      <c r="H42" s="656"/>
      <c r="I42" s="616"/>
      <c r="J42" s="617"/>
      <c r="K42" s="617"/>
      <c r="L42" s="656"/>
      <c r="M42" s="656"/>
      <c r="N42" s="656"/>
      <c r="O42" s="566">
        <v>0</v>
      </c>
      <c r="P42" s="656"/>
      <c r="Q42" s="569">
        <v>0</v>
      </c>
      <c r="R42" s="570">
        <v>0</v>
      </c>
      <c r="S42" s="789">
        <f t="shared" si="6"/>
        <v>0</v>
      </c>
      <c r="T42" s="656"/>
      <c r="U42" s="781">
        <f t="shared" si="4"/>
        <v>0</v>
      </c>
      <c r="V42" s="656"/>
      <c r="W42" s="787">
        <f t="shared" si="5"/>
        <v>0</v>
      </c>
      <c r="X42" s="674" t="s">
        <v>634</v>
      </c>
    </row>
    <row r="43" spans="1:26">
      <c r="A43" s="424" t="s">
        <v>693</v>
      </c>
      <c r="B43" s="106" t="s">
        <v>692</v>
      </c>
      <c r="C43" s="422"/>
      <c r="D43" s="422" t="s">
        <v>80</v>
      </c>
      <c r="E43" s="423" t="s">
        <v>633</v>
      </c>
      <c r="F43" s="88"/>
      <c r="G43" s="566">
        <v>0</v>
      </c>
      <c r="H43" s="656"/>
      <c r="I43" s="616"/>
      <c r="J43" s="617"/>
      <c r="K43" s="617"/>
      <c r="L43" s="656"/>
      <c r="M43" s="656"/>
      <c r="N43" s="656"/>
      <c r="O43" s="566">
        <v>0</v>
      </c>
      <c r="P43" s="656"/>
      <c r="Q43" s="569">
        <v>0</v>
      </c>
      <c r="R43" s="570">
        <v>0</v>
      </c>
      <c r="S43" s="789">
        <f t="shared" si="6"/>
        <v>0</v>
      </c>
      <c r="T43" s="656"/>
      <c r="U43" s="781">
        <f t="shared" si="4"/>
        <v>0</v>
      </c>
      <c r="V43" s="656"/>
      <c r="W43" s="787">
        <f t="shared" si="5"/>
        <v>0</v>
      </c>
      <c r="X43" s="676" t="s">
        <v>634</v>
      </c>
    </row>
    <row r="44" spans="1:26">
      <c r="A44" s="424" t="s">
        <v>695</v>
      </c>
      <c r="B44" s="106" t="s">
        <v>694</v>
      </c>
      <c r="C44" s="422"/>
      <c r="D44" s="422" t="s">
        <v>80</v>
      </c>
      <c r="E44" s="423" t="s">
        <v>633</v>
      </c>
      <c r="F44" s="88"/>
      <c r="G44" s="566">
        <v>0</v>
      </c>
      <c r="H44" s="656"/>
      <c r="I44" s="616"/>
      <c r="J44" s="617"/>
      <c r="K44" s="617"/>
      <c r="L44" s="656"/>
      <c r="M44" s="656"/>
      <c r="N44" s="656"/>
      <c r="O44" s="566">
        <v>1.8140000000000001</v>
      </c>
      <c r="P44" s="656"/>
      <c r="Q44" s="569">
        <v>0.65200000000000002</v>
      </c>
      <c r="R44" s="570">
        <v>0.129</v>
      </c>
      <c r="S44" s="789">
        <f t="shared" si="6"/>
        <v>0.78100000000000003</v>
      </c>
      <c r="T44" s="656"/>
      <c r="U44" s="781">
        <f t="shared" si="4"/>
        <v>2.5950000000000002</v>
      </c>
      <c r="V44" s="656"/>
      <c r="W44" s="787">
        <f t="shared" si="5"/>
        <v>2.5950000000000002</v>
      </c>
      <c r="X44" s="676" t="s">
        <v>634</v>
      </c>
    </row>
    <row r="45" spans="1:26" ht="13" thickBot="1">
      <c r="A45" s="436" t="s">
        <v>697</v>
      </c>
      <c r="B45" s="107" t="s">
        <v>696</v>
      </c>
      <c r="C45" s="91" t="s">
        <v>656</v>
      </c>
      <c r="D45" s="91" t="s">
        <v>80</v>
      </c>
      <c r="E45" s="427" t="s">
        <v>633</v>
      </c>
      <c r="F45" s="88"/>
      <c r="G45" s="581">
        <v>0</v>
      </c>
      <c r="H45" s="656"/>
      <c r="I45" s="616"/>
      <c r="J45" s="617"/>
      <c r="K45" s="617"/>
      <c r="L45" s="656"/>
      <c r="M45" s="656"/>
      <c r="N45" s="656"/>
      <c r="O45" s="581">
        <v>9.6000000000000002E-2</v>
      </c>
      <c r="P45" s="656"/>
      <c r="Q45" s="574">
        <v>1.2E-2</v>
      </c>
      <c r="R45" s="571">
        <v>2E-3</v>
      </c>
      <c r="S45" s="790">
        <f t="shared" si="6"/>
        <v>1.4E-2</v>
      </c>
      <c r="T45" s="656"/>
      <c r="U45" s="791">
        <f t="shared" si="4"/>
        <v>0.11</v>
      </c>
      <c r="V45" s="656"/>
      <c r="W45" s="782">
        <f t="shared" si="5"/>
        <v>0.11</v>
      </c>
      <c r="X45" s="677" t="s">
        <v>634</v>
      </c>
    </row>
    <row r="46" spans="1:26" ht="13" thickBot="1">
      <c r="A46" s="428"/>
      <c r="B46" s="132"/>
      <c r="C46" s="437"/>
      <c r="D46" s="437"/>
      <c r="E46" s="437"/>
      <c r="F46" s="88"/>
      <c r="G46" s="565"/>
      <c r="H46" s="656"/>
      <c r="I46" s="616"/>
      <c r="J46" s="617"/>
      <c r="K46" s="617"/>
      <c r="L46" s="656"/>
      <c r="M46" s="656"/>
      <c r="N46" s="656"/>
      <c r="O46" s="656"/>
      <c r="P46" s="656"/>
      <c r="Q46" s="656"/>
      <c r="R46" s="656"/>
      <c r="S46" s="656"/>
      <c r="T46" s="656"/>
      <c r="U46" s="656"/>
      <c r="V46" s="656"/>
      <c r="W46" s="656"/>
      <c r="X46" s="667"/>
    </row>
    <row r="47" spans="1:26" ht="13">
      <c r="A47" s="438" t="s">
        <v>699</v>
      </c>
      <c r="B47" s="137" t="s">
        <v>698</v>
      </c>
      <c r="C47" s="133"/>
      <c r="D47" s="133" t="s">
        <v>80</v>
      </c>
      <c r="E47" s="138" t="s">
        <v>633</v>
      </c>
      <c r="F47" s="88"/>
      <c r="G47" s="565"/>
      <c r="H47" s="656"/>
      <c r="I47" s="616"/>
      <c r="J47" s="617"/>
      <c r="K47" s="617"/>
      <c r="L47" s="656"/>
      <c r="M47" s="656"/>
      <c r="N47" s="656"/>
      <c r="O47" s="661">
        <v>2.2770000000000001</v>
      </c>
      <c r="P47" s="656"/>
      <c r="Q47" s="646">
        <v>1.998</v>
      </c>
      <c r="R47" s="647">
        <v>0.39500000000000002</v>
      </c>
      <c r="S47" s="792">
        <f>Q47+R47</f>
        <v>2.3929999999999998</v>
      </c>
      <c r="T47" s="656"/>
      <c r="U47" s="656"/>
      <c r="V47" s="656"/>
      <c r="W47" s="656"/>
      <c r="X47" s="667"/>
    </row>
    <row r="48" spans="1:26" ht="13.5" thickBot="1">
      <c r="A48" s="436" t="s">
        <v>702</v>
      </c>
      <c r="B48" s="109" t="s">
        <v>700</v>
      </c>
      <c r="C48" s="110"/>
      <c r="D48" s="110" t="s">
        <v>80</v>
      </c>
      <c r="E48" s="111" t="s">
        <v>701</v>
      </c>
      <c r="F48" s="88"/>
      <c r="G48" s="565"/>
      <c r="H48" s="656"/>
      <c r="I48" s="616"/>
      <c r="J48" s="617"/>
      <c r="K48" s="617"/>
      <c r="L48" s="656"/>
      <c r="M48" s="656"/>
      <c r="N48" s="656"/>
      <c r="O48" s="662">
        <v>0.504</v>
      </c>
      <c r="P48" s="656"/>
      <c r="Q48" s="648">
        <v>0.318</v>
      </c>
      <c r="R48" s="649">
        <v>6.8000000000000005E-2</v>
      </c>
      <c r="S48" s="790">
        <f>Q48+R48</f>
        <v>0.38600000000000001</v>
      </c>
      <c r="T48" s="656"/>
      <c r="U48" s="656"/>
      <c r="V48" s="656"/>
      <c r="W48" s="656"/>
      <c r="X48" s="667"/>
    </row>
    <row r="49" spans="1:24" ht="13.5" thickBot="1">
      <c r="A49" s="439"/>
      <c r="B49" s="135"/>
      <c r="C49" s="440"/>
      <c r="D49" s="136"/>
      <c r="E49" s="136"/>
      <c r="F49" s="88"/>
      <c r="G49" s="565"/>
      <c r="H49" s="656"/>
      <c r="I49" s="616" t="s">
        <v>607</v>
      </c>
      <c r="J49" s="777"/>
      <c r="K49" s="617"/>
      <c r="L49" s="656"/>
      <c r="M49" s="656"/>
      <c r="N49" s="656"/>
      <c r="O49" s="656"/>
      <c r="P49" s="656"/>
      <c r="Q49" s="656"/>
      <c r="R49" s="656"/>
      <c r="S49" s="656"/>
      <c r="T49" s="656"/>
      <c r="U49" s="656"/>
      <c r="V49" s="656"/>
      <c r="W49" s="656"/>
      <c r="X49" s="667"/>
    </row>
    <row r="50" spans="1:24" ht="13">
      <c r="A50" s="441" t="s">
        <v>705</v>
      </c>
      <c r="B50" s="112" t="s">
        <v>703</v>
      </c>
      <c r="C50" s="434" t="s">
        <v>704</v>
      </c>
      <c r="D50" s="434" t="s">
        <v>80</v>
      </c>
      <c r="E50" s="435" t="s">
        <v>100</v>
      </c>
      <c r="F50" s="88"/>
      <c r="G50" s="731">
        <f>SUM(G14:G20)+G24+SUM(G26:G45)</f>
        <v>5.6389999999999993</v>
      </c>
      <c r="H50" s="656"/>
      <c r="I50" s="779">
        <f>SUM(I14:I20)+I23+I24</f>
        <v>49.919999999999995</v>
      </c>
      <c r="J50" s="793">
        <f>SUM(J14:J20)+J24</f>
        <v>139.02899999999997</v>
      </c>
      <c r="K50" s="794">
        <f>SUM(K14:K20)+K24</f>
        <v>84.355000000000004</v>
      </c>
      <c r="L50" s="656"/>
      <c r="M50" s="795">
        <f>SUM(M14:M20)+SUM(M22:M24)</f>
        <v>273.30399999999997</v>
      </c>
      <c r="N50" s="656"/>
      <c r="O50" s="796">
        <f>SUM(O26:O45)</f>
        <v>11.708</v>
      </c>
      <c r="P50" s="656"/>
      <c r="Q50" s="785">
        <f>SUM(Q26:Q45)</f>
        <v>1.79</v>
      </c>
      <c r="R50" s="797">
        <f>SUM(R26:R31)+SUM(R36:R45)</f>
        <v>0.35299999999999998</v>
      </c>
      <c r="S50" s="798">
        <f>SUM(S26:S45)</f>
        <v>2.1429999999999998</v>
      </c>
      <c r="T50" s="656"/>
      <c r="U50" s="795">
        <f>M50+O50+S50</f>
        <v>287.15499999999997</v>
      </c>
      <c r="V50" s="656"/>
      <c r="W50" s="785">
        <f>SUM(W14:W20)+SUM(W22:W24)+SUM(W26:W45)</f>
        <v>292.79399999999998</v>
      </c>
      <c r="X50" s="668" t="s">
        <v>634</v>
      </c>
    </row>
    <row r="51" spans="1:24" ht="13" thickBot="1">
      <c r="A51" s="426" t="s">
        <v>708</v>
      </c>
      <c r="B51" s="107" t="s">
        <v>706</v>
      </c>
      <c r="C51" s="91" t="s">
        <v>707</v>
      </c>
      <c r="D51" s="91" t="s">
        <v>80</v>
      </c>
      <c r="E51" s="427" t="s">
        <v>633</v>
      </c>
      <c r="F51" s="88"/>
      <c r="G51" s="581">
        <v>0.98</v>
      </c>
      <c r="H51" s="656"/>
      <c r="I51" s="634">
        <v>12.766999999999999</v>
      </c>
      <c r="J51" s="628">
        <v>10.962</v>
      </c>
      <c r="K51" s="635">
        <v>3.7639999999999998</v>
      </c>
      <c r="L51" s="656"/>
      <c r="M51" s="791">
        <f>I51+J51+K51</f>
        <v>27.492999999999999</v>
      </c>
      <c r="N51" s="656"/>
      <c r="O51" s="650">
        <v>1.375</v>
      </c>
      <c r="P51" s="656"/>
      <c r="Q51" s="651">
        <v>0.58699999999999997</v>
      </c>
      <c r="R51" s="652">
        <v>0.112</v>
      </c>
      <c r="S51" s="799">
        <f>Q51+R51</f>
        <v>0.69899999999999995</v>
      </c>
      <c r="T51" s="656"/>
      <c r="U51" s="791">
        <f>M51+O51+S51</f>
        <v>29.567</v>
      </c>
      <c r="V51" s="656"/>
      <c r="W51" s="800">
        <f>U51+G51</f>
        <v>30.547000000000001</v>
      </c>
      <c r="X51" s="671" t="s">
        <v>634</v>
      </c>
    </row>
    <row r="52" spans="1:24" ht="13" thickBot="1">
      <c r="A52" s="439"/>
      <c r="B52" s="113"/>
      <c r="C52" s="114"/>
      <c r="D52" s="88"/>
      <c r="E52" s="88"/>
      <c r="F52" s="88"/>
      <c r="G52" s="565"/>
      <c r="H52" s="656"/>
      <c r="I52" s="656"/>
      <c r="J52" s="632"/>
      <c r="K52" s="632"/>
      <c r="L52" s="656"/>
      <c r="M52" s="656"/>
      <c r="N52" s="656"/>
      <c r="O52" s="656"/>
      <c r="P52" s="656"/>
      <c r="Q52" s="656"/>
      <c r="R52" s="656"/>
      <c r="S52" s="656"/>
      <c r="T52" s="656"/>
      <c r="U52" s="656"/>
      <c r="V52" s="656"/>
      <c r="W52" s="656"/>
      <c r="X52" s="665"/>
    </row>
    <row r="53" spans="1:24" ht="13.5" thickBot="1">
      <c r="A53" s="442" t="s">
        <v>712</v>
      </c>
      <c r="B53" s="115" t="s">
        <v>709</v>
      </c>
      <c r="C53" s="443" t="s">
        <v>710</v>
      </c>
      <c r="D53" s="443" t="s">
        <v>80</v>
      </c>
      <c r="E53" s="444" t="s">
        <v>100</v>
      </c>
      <c r="F53" s="88"/>
      <c r="G53" s="747">
        <f>G50+G51</f>
        <v>6.6189999999999998</v>
      </c>
      <c r="H53" s="656"/>
      <c r="I53" s="801">
        <f>I50+I51</f>
        <v>62.686999999999998</v>
      </c>
      <c r="J53" s="802">
        <f>J50+J51</f>
        <v>149.99099999999996</v>
      </c>
      <c r="K53" s="803">
        <f>K50+K51</f>
        <v>88.119</v>
      </c>
      <c r="L53" s="656"/>
      <c r="M53" s="804">
        <f>I53+J53+K53</f>
        <v>300.79699999999991</v>
      </c>
      <c r="N53" s="656"/>
      <c r="O53" s="805">
        <f>SUM(O50:O51)</f>
        <v>13.083</v>
      </c>
      <c r="P53" s="656"/>
      <c r="Q53" s="801">
        <f>Q50+Q51</f>
        <v>2.3769999999999998</v>
      </c>
      <c r="R53" s="806">
        <f>R50+R51</f>
        <v>0.46499999999999997</v>
      </c>
      <c r="S53" s="807">
        <f>S50+S51</f>
        <v>2.8419999999999996</v>
      </c>
      <c r="T53" s="656"/>
      <c r="U53" s="804">
        <f>M53+O53+S53</f>
        <v>316.72199999999992</v>
      </c>
      <c r="V53" s="656"/>
      <c r="W53" s="808">
        <f>W50+W51</f>
        <v>323.34100000000001</v>
      </c>
      <c r="X53" s="678" t="s">
        <v>634</v>
      </c>
    </row>
    <row r="54" spans="1:24" ht="13" thickBot="1">
      <c r="A54" s="445"/>
      <c r="B54" s="114"/>
      <c r="C54" s="241"/>
      <c r="D54" s="241"/>
      <c r="E54" s="241"/>
      <c r="F54" s="88"/>
      <c r="G54" s="565"/>
      <c r="H54" s="656"/>
      <c r="I54" s="656"/>
      <c r="J54" s="632"/>
      <c r="K54" s="632"/>
      <c r="L54" s="656"/>
      <c r="M54" s="656"/>
      <c r="N54" s="656"/>
      <c r="O54" s="656"/>
      <c r="P54" s="656"/>
      <c r="Q54" s="656"/>
      <c r="R54" s="656"/>
      <c r="S54" s="656"/>
      <c r="T54" s="656"/>
      <c r="U54" s="656"/>
      <c r="V54" s="656"/>
      <c r="W54" s="656"/>
      <c r="X54" s="667"/>
    </row>
    <row r="55" spans="1:24" ht="13.5" thickBot="1">
      <c r="A55" s="418"/>
      <c r="B55" s="446" t="s">
        <v>711</v>
      </c>
      <c r="C55" s="447"/>
      <c r="D55" s="448"/>
      <c r="E55" s="449"/>
      <c r="F55" s="88"/>
      <c r="G55" s="565"/>
      <c r="H55" s="656"/>
      <c r="I55" s="656"/>
      <c r="J55" s="632"/>
      <c r="K55" s="631"/>
      <c r="L55" s="656"/>
      <c r="M55" s="656"/>
      <c r="N55" s="656"/>
      <c r="O55" s="656"/>
      <c r="P55" s="656"/>
      <c r="Q55" s="656"/>
      <c r="R55" s="656"/>
      <c r="S55" s="656"/>
      <c r="T55" s="656"/>
      <c r="U55" s="656"/>
      <c r="V55" s="656"/>
      <c r="W55" s="666"/>
      <c r="X55" s="666"/>
    </row>
    <row r="56" spans="1:24" ht="13" thickBot="1">
      <c r="A56" s="421" t="s">
        <v>715</v>
      </c>
      <c r="B56" s="106" t="s">
        <v>713</v>
      </c>
      <c r="C56" s="422" t="s">
        <v>714</v>
      </c>
      <c r="D56" s="422" t="s">
        <v>80</v>
      </c>
      <c r="E56" s="423" t="s">
        <v>237</v>
      </c>
      <c r="F56" s="88"/>
      <c r="G56" s="579">
        <v>0.51400000000000001</v>
      </c>
      <c r="H56" s="656"/>
      <c r="I56" s="657">
        <v>0</v>
      </c>
      <c r="J56" s="629">
        <v>2.7759999999999998</v>
      </c>
      <c r="K56" s="630">
        <v>0</v>
      </c>
      <c r="L56" s="656"/>
      <c r="M56" s="795">
        <f>I56+J56+K56</f>
        <v>2.7759999999999998</v>
      </c>
      <c r="N56" s="656"/>
      <c r="O56" s="661">
        <v>0</v>
      </c>
      <c r="P56" s="656"/>
      <c r="Q56" s="656"/>
      <c r="R56" s="656"/>
      <c r="S56" s="661">
        <v>0</v>
      </c>
      <c r="T56" s="656"/>
      <c r="U56" s="795">
        <f>M56+O56+S56</f>
        <v>2.7759999999999998</v>
      </c>
      <c r="V56" s="656"/>
      <c r="W56" s="809">
        <f>U56+G56</f>
        <v>3.29</v>
      </c>
      <c r="X56" s="679" t="s">
        <v>634</v>
      </c>
    </row>
    <row r="57" spans="1:24" ht="13" thickBot="1">
      <c r="A57" s="124" t="s">
        <v>718</v>
      </c>
      <c r="B57" s="106" t="s">
        <v>716</v>
      </c>
      <c r="C57" s="422" t="s">
        <v>717</v>
      </c>
      <c r="D57" s="422" t="s">
        <v>80</v>
      </c>
      <c r="E57" s="423" t="s">
        <v>237</v>
      </c>
      <c r="F57" s="88"/>
      <c r="G57" s="616"/>
      <c r="H57" s="656"/>
      <c r="I57" s="616"/>
      <c r="J57" s="632"/>
      <c r="K57" s="632"/>
      <c r="L57" s="656"/>
      <c r="M57" s="662">
        <v>4.2030000000000003</v>
      </c>
      <c r="N57" s="656"/>
      <c r="O57" s="653">
        <v>0.26200000000000001</v>
      </c>
      <c r="P57" s="656"/>
      <c r="Q57" s="656"/>
      <c r="R57" s="656"/>
      <c r="S57" s="660">
        <v>0.60599999999999998</v>
      </c>
      <c r="T57" s="616"/>
      <c r="U57" s="810">
        <f>M57+O57+S57</f>
        <v>5.0709999999999997</v>
      </c>
      <c r="V57" s="656"/>
      <c r="W57" s="787">
        <f>U57</f>
        <v>5.0709999999999997</v>
      </c>
      <c r="X57" s="670" t="s">
        <v>634</v>
      </c>
    </row>
    <row r="58" spans="1:24" ht="13.5" thickBot="1">
      <c r="A58" s="129" t="s">
        <v>721</v>
      </c>
      <c r="B58" s="116" t="s">
        <v>719</v>
      </c>
      <c r="C58" s="91" t="s">
        <v>720</v>
      </c>
      <c r="D58" s="91" t="s">
        <v>80</v>
      </c>
      <c r="E58" s="427" t="s">
        <v>100</v>
      </c>
      <c r="F58" s="88"/>
      <c r="G58" s="747">
        <f>G56</f>
        <v>0.51400000000000001</v>
      </c>
      <c r="H58" s="656"/>
      <c r="I58" s="804">
        <f>I56</f>
        <v>0</v>
      </c>
      <c r="J58" s="811">
        <f>J56</f>
        <v>2.7759999999999998</v>
      </c>
      <c r="K58" s="811">
        <f>K56</f>
        <v>0</v>
      </c>
      <c r="L58" s="656"/>
      <c r="M58" s="804">
        <f>M56+M57</f>
        <v>6.9790000000000001</v>
      </c>
      <c r="N58" s="656"/>
      <c r="O58" s="791">
        <f>O56+O57</f>
        <v>0.26200000000000001</v>
      </c>
      <c r="P58" s="656"/>
      <c r="Q58" s="656"/>
      <c r="R58" s="656"/>
      <c r="S58" s="791">
        <f>S56+S57</f>
        <v>0.60599999999999998</v>
      </c>
      <c r="T58" s="656"/>
      <c r="U58" s="791">
        <f>U56+U57</f>
        <v>7.8469999999999995</v>
      </c>
      <c r="V58" s="656"/>
      <c r="W58" s="782">
        <f>U58+G58</f>
        <v>8.3609999999999989</v>
      </c>
      <c r="X58" s="680" t="s">
        <v>634</v>
      </c>
    </row>
    <row r="59" spans="1:24" ht="13" thickBot="1">
      <c r="A59" s="450"/>
      <c r="B59" s="113"/>
      <c r="C59" s="114"/>
      <c r="D59" s="88"/>
      <c r="E59" s="88"/>
      <c r="F59" s="88"/>
      <c r="G59" s="565"/>
      <c r="H59" s="656"/>
      <c r="I59" s="656"/>
      <c r="J59" s="632"/>
      <c r="K59" s="777"/>
      <c r="L59" s="656"/>
      <c r="M59" s="656"/>
      <c r="N59" s="656"/>
      <c r="O59" s="656"/>
      <c r="P59" s="656"/>
      <c r="Q59" s="656"/>
      <c r="R59" s="656"/>
      <c r="S59" s="656"/>
      <c r="T59" s="656"/>
      <c r="U59" s="656"/>
      <c r="V59" s="656"/>
      <c r="W59" s="656"/>
      <c r="X59" s="665"/>
    </row>
    <row r="60" spans="1:24" ht="13.5" thickBot="1">
      <c r="A60" s="433" t="s">
        <v>724</v>
      </c>
      <c r="B60" s="108" t="s">
        <v>722</v>
      </c>
      <c r="C60" s="434" t="s">
        <v>723</v>
      </c>
      <c r="D60" s="434" t="s">
        <v>80</v>
      </c>
      <c r="E60" s="435" t="s">
        <v>237</v>
      </c>
      <c r="F60" s="88"/>
      <c r="G60" s="580">
        <v>0.126</v>
      </c>
      <c r="H60" s="656"/>
      <c r="I60" s="656"/>
      <c r="J60" s="632"/>
      <c r="K60" s="631"/>
      <c r="L60" s="656"/>
      <c r="M60" s="661">
        <v>17.986999999999998</v>
      </c>
      <c r="N60" s="656"/>
      <c r="O60" s="661">
        <v>6.0000000000000001E-3</v>
      </c>
      <c r="P60" s="656"/>
      <c r="Q60" s="656"/>
      <c r="R60" s="656"/>
      <c r="S60" s="661">
        <v>1E-3</v>
      </c>
      <c r="T60" s="656"/>
      <c r="U60" s="795">
        <f>M60+O60+S60</f>
        <v>17.994</v>
      </c>
      <c r="V60" s="656"/>
      <c r="W60" s="809">
        <f>U60+G60</f>
        <v>18.12</v>
      </c>
      <c r="X60" s="679" t="s">
        <v>634</v>
      </c>
    </row>
    <row r="61" spans="1:24" ht="13" thickBot="1">
      <c r="A61" s="124" t="s">
        <v>727</v>
      </c>
      <c r="B61" s="106" t="s">
        <v>725</v>
      </c>
      <c r="C61" s="422" t="s">
        <v>726</v>
      </c>
      <c r="D61" s="422" t="s">
        <v>80</v>
      </c>
      <c r="E61" s="423" t="s">
        <v>237</v>
      </c>
      <c r="F61" s="88"/>
      <c r="G61" s="566">
        <v>0</v>
      </c>
      <c r="H61" s="656"/>
      <c r="I61" s="656"/>
      <c r="J61" s="632"/>
      <c r="K61" s="632"/>
      <c r="L61" s="656"/>
      <c r="M61" s="654">
        <v>0</v>
      </c>
      <c r="N61" s="656"/>
      <c r="O61" s="654">
        <v>8.6270000000000007</v>
      </c>
      <c r="P61" s="656"/>
      <c r="Q61" s="657">
        <v>4.0000000000000001E-3</v>
      </c>
      <c r="R61" s="655">
        <v>1E-3</v>
      </c>
      <c r="S61" s="788">
        <f>Q61+R61</f>
        <v>5.0000000000000001E-3</v>
      </c>
      <c r="T61" s="656"/>
      <c r="U61" s="781">
        <f>M61+O61+S61</f>
        <v>8.6320000000000014</v>
      </c>
      <c r="V61" s="656"/>
      <c r="W61" s="812">
        <f>U61+G61</f>
        <v>8.6320000000000014</v>
      </c>
      <c r="X61" s="670" t="s">
        <v>634</v>
      </c>
    </row>
    <row r="62" spans="1:24" ht="13" thickBot="1">
      <c r="A62" s="129" t="s">
        <v>730</v>
      </c>
      <c r="B62" s="107" t="s">
        <v>728</v>
      </c>
      <c r="C62" s="91" t="s">
        <v>729</v>
      </c>
      <c r="D62" s="91" t="s">
        <v>80</v>
      </c>
      <c r="E62" s="427" t="s">
        <v>633</v>
      </c>
      <c r="F62" s="88"/>
      <c r="G62" s="581">
        <v>0</v>
      </c>
      <c r="H62" s="656"/>
      <c r="I62" s="657">
        <v>0</v>
      </c>
      <c r="J62" s="629">
        <v>0</v>
      </c>
      <c r="K62" s="630">
        <v>0</v>
      </c>
      <c r="L62" s="656"/>
      <c r="M62" s="791">
        <f>I62+J62+K62</f>
        <v>0</v>
      </c>
      <c r="N62" s="656"/>
      <c r="O62" s="662">
        <v>0</v>
      </c>
      <c r="P62" s="656"/>
      <c r="Q62" s="656"/>
      <c r="R62" s="656"/>
      <c r="S62" s="662">
        <v>0</v>
      </c>
      <c r="T62" s="656"/>
      <c r="U62" s="791">
        <f>M62+O62+S62</f>
        <v>0</v>
      </c>
      <c r="V62" s="656"/>
      <c r="W62" s="782">
        <f>U62+G62</f>
        <v>0</v>
      </c>
      <c r="X62" s="680" t="s">
        <v>634</v>
      </c>
    </row>
    <row r="63" spans="1:24" ht="13.5" thickBot="1">
      <c r="A63" s="450"/>
      <c r="B63" s="113"/>
      <c r="C63" s="114"/>
      <c r="D63" s="88"/>
      <c r="E63" s="88"/>
      <c r="F63" s="88"/>
      <c r="G63" s="565"/>
      <c r="H63" s="656"/>
      <c r="I63" s="656"/>
      <c r="J63" s="632"/>
      <c r="K63" s="631"/>
      <c r="L63" s="656"/>
      <c r="M63" s="656"/>
      <c r="N63" s="656"/>
      <c r="O63" s="656"/>
      <c r="P63" s="656"/>
      <c r="Q63" s="656"/>
      <c r="R63" s="656"/>
      <c r="S63" s="656"/>
      <c r="T63" s="656"/>
      <c r="U63" s="656"/>
      <c r="V63" s="656"/>
      <c r="W63" s="666"/>
      <c r="X63" s="666"/>
    </row>
    <row r="64" spans="1:24">
      <c r="A64" s="128" t="s">
        <v>733</v>
      </c>
      <c r="B64" s="108" t="s">
        <v>731</v>
      </c>
      <c r="C64" s="434" t="s">
        <v>732</v>
      </c>
      <c r="D64" s="434" t="s">
        <v>80</v>
      </c>
      <c r="E64" s="435" t="s">
        <v>100</v>
      </c>
      <c r="F64" s="88"/>
      <c r="G64" s="656"/>
      <c r="H64" s="656"/>
      <c r="I64" s="779">
        <f>I53+I58+I62</f>
        <v>62.686999999999998</v>
      </c>
      <c r="J64" s="793">
        <f>J53+J58+J62</f>
        <v>152.76699999999997</v>
      </c>
      <c r="K64" s="794">
        <f>K53+K58+K62</f>
        <v>88.119</v>
      </c>
      <c r="L64" s="656"/>
      <c r="M64" s="795">
        <f>M53+M58+M60+M61+M62</f>
        <v>325.76299999999992</v>
      </c>
      <c r="N64" s="656"/>
      <c r="O64" s="813">
        <f>O53+O58+O60+O61+O62</f>
        <v>21.978000000000002</v>
      </c>
      <c r="P64" s="656"/>
      <c r="Q64" s="656"/>
      <c r="R64" s="656"/>
      <c r="S64" s="813">
        <f>S53+S58+S60+S61+S62</f>
        <v>3.4539999999999993</v>
      </c>
      <c r="T64" s="656"/>
      <c r="U64" s="795">
        <f>M64+O64+S64</f>
        <v>351.19499999999994</v>
      </c>
      <c r="V64" s="656"/>
      <c r="W64" s="785">
        <f>U64</f>
        <v>351.19499999999994</v>
      </c>
      <c r="X64" s="681" t="s">
        <v>634</v>
      </c>
    </row>
    <row r="65" spans="1:24" ht="13" thickBot="1">
      <c r="A65" s="129" t="s">
        <v>736</v>
      </c>
      <c r="B65" s="107" t="s">
        <v>734</v>
      </c>
      <c r="C65" s="91" t="s">
        <v>735</v>
      </c>
      <c r="D65" s="91" t="s">
        <v>80</v>
      </c>
      <c r="E65" s="427" t="s">
        <v>633</v>
      </c>
      <c r="F65" s="88"/>
      <c r="G65" s="565"/>
      <c r="H65" s="656"/>
      <c r="I65" s="648">
        <v>0</v>
      </c>
      <c r="J65" s="642">
        <v>0</v>
      </c>
      <c r="K65" s="643">
        <v>2.1459999999999999</v>
      </c>
      <c r="L65" s="656"/>
      <c r="M65" s="791">
        <f>I65+J65+K65</f>
        <v>2.1459999999999999</v>
      </c>
      <c r="N65" s="656"/>
      <c r="O65" s="662">
        <v>0</v>
      </c>
      <c r="P65" s="656"/>
      <c r="Q65" s="656"/>
      <c r="R65" s="656"/>
      <c r="S65" s="662">
        <v>0.104</v>
      </c>
      <c r="T65" s="656"/>
      <c r="U65" s="791">
        <f>M65+O65+S65</f>
        <v>2.25</v>
      </c>
      <c r="V65" s="656"/>
      <c r="W65" s="814">
        <f>U65</f>
        <v>2.25</v>
      </c>
      <c r="X65" s="682" t="s">
        <v>634</v>
      </c>
    </row>
    <row r="66" spans="1:24" ht="13" thickBot="1">
      <c r="A66" s="450"/>
      <c r="B66" s="113"/>
      <c r="C66" s="114"/>
      <c r="D66" s="88"/>
      <c r="E66" s="88"/>
      <c r="F66" s="88"/>
      <c r="G66" s="565"/>
      <c r="H66" s="656"/>
      <c r="I66" s="656"/>
      <c r="J66" s="632"/>
      <c r="K66" s="632"/>
      <c r="L66" s="656"/>
      <c r="M66" s="656"/>
      <c r="N66" s="656"/>
      <c r="O66" s="656"/>
      <c r="P66" s="656"/>
      <c r="Q66" s="656"/>
      <c r="R66" s="656"/>
      <c r="S66" s="815"/>
      <c r="T66" s="656"/>
      <c r="U66" s="656"/>
      <c r="V66" s="656"/>
      <c r="W66" s="656"/>
      <c r="X66" s="665"/>
    </row>
    <row r="67" spans="1:24" ht="13.5" thickBot="1">
      <c r="A67" s="156" t="s">
        <v>740</v>
      </c>
      <c r="B67" s="115" t="s">
        <v>737</v>
      </c>
      <c r="C67" s="443" t="s">
        <v>738</v>
      </c>
      <c r="D67" s="443" t="s">
        <v>80</v>
      </c>
      <c r="E67" s="444" t="s">
        <v>100</v>
      </c>
      <c r="F67" s="88"/>
      <c r="G67" s="747">
        <f>G53+G62+G61+G60+G58</f>
        <v>7.2590000000000003</v>
      </c>
      <c r="H67" s="656"/>
      <c r="I67" s="804">
        <f>I64+I65</f>
        <v>62.686999999999998</v>
      </c>
      <c r="J67" s="811">
        <f>J64+J65</f>
        <v>152.76699999999997</v>
      </c>
      <c r="K67" s="811">
        <f>K64+K65</f>
        <v>90.265000000000001</v>
      </c>
      <c r="L67" s="656"/>
      <c r="M67" s="804">
        <f>M64+M65</f>
        <v>327.90899999999993</v>
      </c>
      <c r="N67" s="656"/>
      <c r="O67" s="804">
        <f>O64+O65</f>
        <v>21.978000000000002</v>
      </c>
      <c r="P67" s="656"/>
      <c r="Q67" s="816">
        <f>Q53+Q58+Q61</f>
        <v>2.3809999999999998</v>
      </c>
      <c r="R67" s="817">
        <f>R53+R58+R61</f>
        <v>0.46599999999999997</v>
      </c>
      <c r="S67" s="818">
        <f>S64+S65</f>
        <v>3.5579999999999994</v>
      </c>
      <c r="T67" s="656"/>
      <c r="U67" s="804">
        <f>M67+O67+S67</f>
        <v>353.44499999999994</v>
      </c>
      <c r="V67" s="656"/>
      <c r="W67" s="808">
        <f>U67+G67</f>
        <v>360.70399999999995</v>
      </c>
      <c r="X67" s="683" t="s">
        <v>634</v>
      </c>
    </row>
    <row r="68" spans="1:24" ht="13.5" thickBot="1">
      <c r="A68" s="451"/>
      <c r="B68" s="114"/>
      <c r="C68" s="241"/>
      <c r="D68" s="241"/>
      <c r="E68" s="241"/>
      <c r="F68" s="88"/>
      <c r="G68" s="565"/>
      <c r="H68" s="656"/>
      <c r="I68" s="656"/>
      <c r="J68" s="632"/>
      <c r="K68" s="631"/>
      <c r="L68" s="656"/>
      <c r="M68" s="656"/>
      <c r="N68" s="656"/>
      <c r="O68" s="656"/>
      <c r="P68" s="656"/>
      <c r="Q68" s="656"/>
      <c r="R68" s="656"/>
      <c r="S68" s="656"/>
      <c r="T68" s="656"/>
      <c r="U68" s="656"/>
      <c r="V68" s="656"/>
      <c r="W68" s="656"/>
      <c r="X68" s="667"/>
    </row>
    <row r="69" spans="1:24" ht="13.5" thickBot="1">
      <c r="A69" s="418"/>
      <c r="B69" s="446" t="s">
        <v>739</v>
      </c>
      <c r="C69" s="447"/>
      <c r="D69" s="448"/>
      <c r="E69" s="449"/>
      <c r="F69" s="88"/>
      <c r="G69" s="565"/>
      <c r="H69" s="656"/>
      <c r="I69" s="656"/>
      <c r="J69" s="617"/>
      <c r="K69" s="631"/>
      <c r="L69" s="656"/>
      <c r="M69" s="656"/>
      <c r="N69" s="656"/>
      <c r="O69" s="656"/>
      <c r="P69" s="656"/>
      <c r="Q69" s="656"/>
      <c r="R69" s="656"/>
      <c r="S69" s="656"/>
      <c r="T69" s="656"/>
      <c r="U69" s="656"/>
      <c r="V69" s="656"/>
      <c r="W69" s="666"/>
      <c r="X69" s="666"/>
    </row>
    <row r="70" spans="1:24" ht="13" thickBot="1">
      <c r="A70" s="421" t="s">
        <v>744</v>
      </c>
      <c r="B70" s="106" t="s">
        <v>741</v>
      </c>
      <c r="C70" s="422" t="s">
        <v>742</v>
      </c>
      <c r="D70" s="422" t="s">
        <v>80</v>
      </c>
      <c r="E70" s="423" t="s">
        <v>633</v>
      </c>
      <c r="F70" s="88"/>
      <c r="G70" s="580">
        <v>0</v>
      </c>
      <c r="H70" s="656"/>
      <c r="I70" s="633">
        <v>13.214</v>
      </c>
      <c r="J70" s="636">
        <v>0</v>
      </c>
      <c r="K70" s="637">
        <v>0</v>
      </c>
      <c r="L70" s="656"/>
      <c r="M70" s="795">
        <f>I70+J70+K70</f>
        <v>13.214</v>
      </c>
      <c r="N70" s="656"/>
      <c r="O70" s="656"/>
      <c r="P70" s="656"/>
      <c r="Q70" s="656"/>
      <c r="R70" s="656"/>
      <c r="S70" s="656"/>
      <c r="T70" s="656"/>
      <c r="U70" s="795">
        <f>M70</f>
        <v>13.214</v>
      </c>
      <c r="V70" s="656"/>
      <c r="W70" s="785">
        <f>U70+G70</f>
        <v>13.214</v>
      </c>
      <c r="X70" s="681" t="s">
        <v>743</v>
      </c>
    </row>
    <row r="71" spans="1:24" ht="13" thickBot="1">
      <c r="A71" s="426" t="s">
        <v>748</v>
      </c>
      <c r="B71" s="107" t="s">
        <v>745</v>
      </c>
      <c r="C71" s="91" t="s">
        <v>746</v>
      </c>
      <c r="D71" s="91" t="s">
        <v>80</v>
      </c>
      <c r="E71" s="427" t="s">
        <v>633</v>
      </c>
      <c r="F71" s="88"/>
      <c r="G71" s="581">
        <v>0</v>
      </c>
      <c r="H71" s="656"/>
      <c r="I71" s="634">
        <v>3.6019999999999999</v>
      </c>
      <c r="J71" s="642">
        <v>9.8610000000000007</v>
      </c>
      <c r="K71" s="635">
        <v>0.95199999999999996</v>
      </c>
      <c r="L71" s="656"/>
      <c r="M71" s="791">
        <f>I71+J71+K71</f>
        <v>14.415000000000001</v>
      </c>
      <c r="N71" s="656"/>
      <c r="O71" s="658">
        <v>0</v>
      </c>
      <c r="P71" s="656"/>
      <c r="Q71" s="657">
        <v>0</v>
      </c>
      <c r="R71" s="659">
        <v>0</v>
      </c>
      <c r="S71" s="818">
        <f>Q71+R71</f>
        <v>0</v>
      </c>
      <c r="T71" s="656"/>
      <c r="U71" s="791">
        <f>M71+O71+S71</f>
        <v>14.415000000000001</v>
      </c>
      <c r="V71" s="656"/>
      <c r="W71" s="800">
        <f>U71+G71</f>
        <v>14.415000000000001</v>
      </c>
      <c r="X71" s="682" t="s">
        <v>743</v>
      </c>
    </row>
    <row r="72" spans="1:24" ht="13.5" thickBot="1">
      <c r="A72" s="450"/>
      <c r="B72" s="113"/>
      <c r="C72" s="114"/>
      <c r="D72" s="88"/>
      <c r="E72" s="88"/>
      <c r="F72" s="88"/>
      <c r="G72" s="565"/>
      <c r="H72" s="656"/>
      <c r="I72" s="656"/>
      <c r="J72" s="632"/>
      <c r="K72" s="631"/>
      <c r="L72" s="656"/>
      <c r="M72" s="656"/>
      <c r="N72" s="656"/>
      <c r="O72" s="656"/>
      <c r="P72" s="656"/>
      <c r="Q72" s="656"/>
      <c r="R72" s="656"/>
      <c r="S72" s="656"/>
      <c r="T72" s="656"/>
      <c r="U72" s="656"/>
      <c r="V72" s="656"/>
      <c r="W72" s="656"/>
      <c r="X72" s="665"/>
    </row>
    <row r="73" spans="1:24" ht="13.5" thickBot="1">
      <c r="A73" s="418"/>
      <c r="B73" s="446" t="s">
        <v>747</v>
      </c>
      <c r="C73" s="447"/>
      <c r="D73" s="448"/>
      <c r="E73" s="449"/>
      <c r="F73" s="88"/>
      <c r="G73" s="565"/>
      <c r="H73" s="656"/>
      <c r="I73" s="656"/>
      <c r="J73" s="632"/>
      <c r="K73" s="632"/>
      <c r="L73" s="656"/>
      <c r="M73" s="656"/>
      <c r="N73" s="656"/>
      <c r="O73" s="656"/>
      <c r="P73" s="656"/>
      <c r="Q73" s="656"/>
      <c r="R73" s="656"/>
      <c r="S73" s="656"/>
      <c r="T73" s="656"/>
      <c r="U73" s="656"/>
      <c r="V73" s="656"/>
      <c r="W73" s="656"/>
      <c r="X73" s="665"/>
    </row>
    <row r="74" spans="1:24">
      <c r="A74" s="124" t="s">
        <v>751</v>
      </c>
      <c r="B74" s="106" t="s">
        <v>749</v>
      </c>
      <c r="C74" s="422" t="s">
        <v>750</v>
      </c>
      <c r="D74" s="422" t="s">
        <v>80</v>
      </c>
      <c r="E74" s="423" t="s">
        <v>633</v>
      </c>
      <c r="F74" s="88"/>
      <c r="G74" s="580">
        <v>0</v>
      </c>
      <c r="H74" s="656"/>
      <c r="I74" s="646">
        <v>39.15</v>
      </c>
      <c r="J74" s="636">
        <v>1.1930000000000001</v>
      </c>
      <c r="K74" s="638">
        <v>2.9969999999999999</v>
      </c>
      <c r="L74" s="656"/>
      <c r="M74" s="795">
        <f t="shared" ref="M74:M79" si="7">I74+J74+K74</f>
        <v>43.339999999999996</v>
      </c>
      <c r="N74" s="656"/>
      <c r="O74" s="656"/>
      <c r="P74" s="656"/>
      <c r="Q74" s="656"/>
      <c r="R74" s="656"/>
      <c r="S74" s="656"/>
      <c r="T74" s="656"/>
      <c r="U74" s="795">
        <f>M74</f>
        <v>43.339999999999996</v>
      </c>
      <c r="V74" s="656"/>
      <c r="W74" s="809">
        <f t="shared" ref="W74:W79" si="8">U74+G74</f>
        <v>43.339999999999996</v>
      </c>
      <c r="X74" s="679" t="s">
        <v>634</v>
      </c>
    </row>
    <row r="75" spans="1:24">
      <c r="A75" s="124" t="s">
        <v>754</v>
      </c>
      <c r="B75" s="106" t="s">
        <v>752</v>
      </c>
      <c r="C75" s="422" t="s">
        <v>788</v>
      </c>
      <c r="D75" s="422" t="s">
        <v>80</v>
      </c>
      <c r="E75" s="423" t="s">
        <v>633</v>
      </c>
      <c r="F75" s="88"/>
      <c r="G75" s="566">
        <v>0</v>
      </c>
      <c r="H75" s="656"/>
      <c r="I75" s="691">
        <v>0</v>
      </c>
      <c r="J75" s="692">
        <v>0</v>
      </c>
      <c r="K75" s="639">
        <v>0</v>
      </c>
      <c r="L75" s="656"/>
      <c r="M75" s="819">
        <f t="shared" si="7"/>
        <v>0</v>
      </c>
      <c r="N75" s="656"/>
      <c r="O75" s="656"/>
      <c r="P75" s="656"/>
      <c r="Q75" s="656"/>
      <c r="R75" s="656"/>
      <c r="S75" s="656"/>
      <c r="T75" s="656"/>
      <c r="U75" s="781">
        <f>M75</f>
        <v>0</v>
      </c>
      <c r="V75" s="656"/>
      <c r="W75" s="812">
        <f t="shared" si="8"/>
        <v>0</v>
      </c>
      <c r="X75" s="670" t="s">
        <v>634</v>
      </c>
    </row>
    <row r="76" spans="1:24">
      <c r="A76" s="424" t="s">
        <v>756</v>
      </c>
      <c r="B76" s="106" t="s">
        <v>755</v>
      </c>
      <c r="C76" s="422"/>
      <c r="D76" s="422" t="s">
        <v>80</v>
      </c>
      <c r="E76" s="423" t="s">
        <v>633</v>
      </c>
      <c r="F76" s="88"/>
      <c r="G76" s="566">
        <v>0.53600000000000003</v>
      </c>
      <c r="H76" s="656"/>
      <c r="I76" s="691">
        <v>30.713999999999999</v>
      </c>
      <c r="J76" s="692">
        <v>90.97</v>
      </c>
      <c r="K76" s="640">
        <v>5.226</v>
      </c>
      <c r="L76" s="656"/>
      <c r="M76" s="781">
        <f t="shared" si="7"/>
        <v>126.91</v>
      </c>
      <c r="N76" s="656"/>
      <c r="O76" s="656"/>
      <c r="P76" s="656"/>
      <c r="Q76" s="656"/>
      <c r="R76" s="656"/>
      <c r="S76" s="656"/>
      <c r="T76" s="656"/>
      <c r="U76" s="781">
        <f>M76</f>
        <v>126.91</v>
      </c>
      <c r="V76" s="656"/>
      <c r="W76" s="812">
        <f t="shared" si="8"/>
        <v>127.446</v>
      </c>
      <c r="X76" s="670" t="s">
        <v>634</v>
      </c>
    </row>
    <row r="77" spans="1:24" ht="13" thickBot="1">
      <c r="A77" s="424" t="s">
        <v>759</v>
      </c>
      <c r="B77" s="106" t="s">
        <v>757</v>
      </c>
      <c r="C77" s="422" t="s">
        <v>758</v>
      </c>
      <c r="D77" s="422" t="s">
        <v>80</v>
      </c>
      <c r="E77" s="423" t="s">
        <v>633</v>
      </c>
      <c r="F77" s="88"/>
      <c r="G77" s="566">
        <v>-0.11</v>
      </c>
      <c r="H77" s="656"/>
      <c r="I77" s="691">
        <v>-2.1999999999999999E-2</v>
      </c>
      <c r="J77" s="692">
        <v>-0.25900000000000001</v>
      </c>
      <c r="K77" s="639">
        <v>0</v>
      </c>
      <c r="L77" s="656"/>
      <c r="M77" s="781">
        <f t="shared" si="7"/>
        <v>-0.28100000000000003</v>
      </c>
      <c r="N77" s="656"/>
      <c r="O77" s="656"/>
      <c r="P77" s="656"/>
      <c r="Q77" s="656"/>
      <c r="R77" s="656"/>
      <c r="S77" s="656"/>
      <c r="T77" s="656"/>
      <c r="U77" s="781">
        <f>M77</f>
        <v>-0.28100000000000003</v>
      </c>
      <c r="V77" s="656"/>
      <c r="W77" s="820">
        <f t="shared" si="8"/>
        <v>-0.39100000000000001</v>
      </c>
      <c r="X77" s="684" t="s">
        <v>634</v>
      </c>
    </row>
    <row r="78" spans="1:24" ht="13" thickBot="1">
      <c r="A78" s="424" t="s">
        <v>762</v>
      </c>
      <c r="B78" s="106" t="s">
        <v>760</v>
      </c>
      <c r="C78" s="422" t="s">
        <v>761</v>
      </c>
      <c r="D78" s="422" t="s">
        <v>80</v>
      </c>
      <c r="E78" s="423" t="s">
        <v>633</v>
      </c>
      <c r="F78" s="88"/>
      <c r="G78" s="566">
        <v>0</v>
      </c>
      <c r="H78" s="656"/>
      <c r="I78" s="691">
        <v>0</v>
      </c>
      <c r="J78" s="692">
        <v>0</v>
      </c>
      <c r="K78" s="639">
        <v>0</v>
      </c>
      <c r="L78" s="656"/>
      <c r="M78" s="781">
        <f t="shared" si="7"/>
        <v>0</v>
      </c>
      <c r="N78" s="656"/>
      <c r="O78" s="661">
        <v>0</v>
      </c>
      <c r="P78" s="656"/>
      <c r="Q78" s="656"/>
      <c r="R78" s="656"/>
      <c r="S78" s="661">
        <v>0</v>
      </c>
      <c r="T78" s="656"/>
      <c r="U78" s="781">
        <f>M78+O78+S78</f>
        <v>0</v>
      </c>
      <c r="V78" s="656"/>
      <c r="W78" s="820">
        <f t="shared" si="8"/>
        <v>0</v>
      </c>
      <c r="X78" s="684" t="s">
        <v>634</v>
      </c>
    </row>
    <row r="79" spans="1:24" ht="13" thickBot="1">
      <c r="A79" s="436" t="s">
        <v>765</v>
      </c>
      <c r="B79" s="107" t="s">
        <v>763</v>
      </c>
      <c r="C79" s="91" t="s">
        <v>764</v>
      </c>
      <c r="D79" s="91" t="s">
        <v>80</v>
      </c>
      <c r="E79" s="427" t="s">
        <v>633</v>
      </c>
      <c r="F79" s="88"/>
      <c r="G79" s="581">
        <v>0</v>
      </c>
      <c r="H79" s="656"/>
      <c r="I79" s="648">
        <v>5.7000000000000002E-2</v>
      </c>
      <c r="J79" s="642">
        <v>0.13800000000000001</v>
      </c>
      <c r="K79" s="641">
        <v>1.9E-2</v>
      </c>
      <c r="L79" s="656"/>
      <c r="M79" s="791">
        <f t="shared" si="7"/>
        <v>0.214</v>
      </c>
      <c r="N79" s="656"/>
      <c r="O79" s="662">
        <v>0.20300000000000001</v>
      </c>
      <c r="P79" s="656"/>
      <c r="Q79" s="657">
        <v>6.3E-2</v>
      </c>
      <c r="R79" s="659">
        <v>1.2E-2</v>
      </c>
      <c r="S79" s="790">
        <f>Q79+R79</f>
        <v>7.4999999999999997E-2</v>
      </c>
      <c r="T79" s="656"/>
      <c r="U79" s="791">
        <f>M79+O79+S79</f>
        <v>0.49200000000000005</v>
      </c>
      <c r="V79" s="656"/>
      <c r="W79" s="814">
        <f t="shared" si="8"/>
        <v>0.49200000000000005</v>
      </c>
      <c r="X79" s="682" t="s">
        <v>634</v>
      </c>
    </row>
    <row r="80" spans="1:24" ht="18.5" thickBot="1">
      <c r="A80" s="452"/>
      <c r="B80" s="134"/>
      <c r="C80" s="114"/>
      <c r="D80" s="389"/>
      <c r="E80" s="389"/>
      <c r="F80" s="88"/>
      <c r="G80" s="565"/>
      <c r="H80" s="656"/>
      <c r="I80" s="656"/>
      <c r="J80" s="821"/>
      <c r="K80" s="822"/>
      <c r="L80" s="656"/>
      <c r="M80" s="656"/>
      <c r="N80" s="656"/>
      <c r="O80" s="656"/>
      <c r="P80" s="656"/>
      <c r="Q80" s="656"/>
      <c r="R80" s="656"/>
      <c r="S80" s="656"/>
      <c r="T80" s="656"/>
      <c r="U80" s="656"/>
      <c r="V80" s="656"/>
      <c r="W80" s="666"/>
      <c r="X80" s="666"/>
    </row>
    <row r="81" spans="1:24">
      <c r="A81" s="433" t="s">
        <v>768</v>
      </c>
      <c r="B81" s="108" t="s">
        <v>766</v>
      </c>
      <c r="C81" s="434" t="s">
        <v>767</v>
      </c>
      <c r="D81" s="434" t="s">
        <v>80</v>
      </c>
      <c r="E81" s="435" t="s">
        <v>100</v>
      </c>
      <c r="F81" s="88"/>
      <c r="G81" s="565"/>
      <c r="H81" s="656"/>
      <c r="I81" s="779">
        <f>SUM(I74:I79)</f>
        <v>69.899000000000001</v>
      </c>
      <c r="J81" s="793">
        <f>SUM(J74:J79)</f>
        <v>92.042000000000002</v>
      </c>
      <c r="K81" s="794">
        <f>SUM(K74:K79)</f>
        <v>8.2419999999999991</v>
      </c>
      <c r="L81" s="656"/>
      <c r="M81" s="795">
        <f>I81+J81+K81</f>
        <v>170.18299999999999</v>
      </c>
      <c r="N81" s="656"/>
      <c r="O81" s="795">
        <f>O78+O79</f>
        <v>0.20300000000000001</v>
      </c>
      <c r="P81" s="656"/>
      <c r="Q81" s="656"/>
      <c r="R81" s="656"/>
      <c r="S81" s="795">
        <f>S78+S79</f>
        <v>7.4999999999999997E-2</v>
      </c>
      <c r="T81" s="656"/>
      <c r="U81" s="795">
        <f>M81+O81+S81</f>
        <v>170.46099999999998</v>
      </c>
      <c r="V81" s="656"/>
      <c r="W81" s="779">
        <f>U81</f>
        <v>170.46099999999998</v>
      </c>
      <c r="X81" s="687" t="s">
        <v>634</v>
      </c>
    </row>
    <row r="82" spans="1:24" ht="13" thickBot="1">
      <c r="A82" s="436" t="s">
        <v>771</v>
      </c>
      <c r="B82" s="107" t="s">
        <v>769</v>
      </c>
      <c r="C82" s="91" t="s">
        <v>770</v>
      </c>
      <c r="D82" s="91" t="s">
        <v>80</v>
      </c>
      <c r="E82" s="427" t="s">
        <v>633</v>
      </c>
      <c r="F82" s="88"/>
      <c r="G82" s="565"/>
      <c r="H82" s="656"/>
      <c r="I82" s="648">
        <v>0</v>
      </c>
      <c r="J82" s="642">
        <v>0</v>
      </c>
      <c r="K82" s="643">
        <v>5.5E-2</v>
      </c>
      <c r="L82" s="656"/>
      <c r="M82" s="791">
        <f>I82+J82+K82</f>
        <v>5.5E-2</v>
      </c>
      <c r="N82" s="656"/>
      <c r="O82" s="662">
        <v>4.0000000000000001E-3</v>
      </c>
      <c r="P82" s="656"/>
      <c r="Q82" s="656"/>
      <c r="R82" s="656"/>
      <c r="S82" s="662">
        <v>3.0000000000000001E-3</v>
      </c>
      <c r="T82" s="656"/>
      <c r="U82" s="791">
        <f>M82+O82+S82</f>
        <v>6.2E-2</v>
      </c>
      <c r="V82" s="656"/>
      <c r="W82" s="814">
        <f>U82</f>
        <v>6.2E-2</v>
      </c>
      <c r="X82" s="688" t="s">
        <v>634</v>
      </c>
    </row>
    <row r="83" spans="1:24" ht="16" thickBot="1">
      <c r="A83" s="450"/>
      <c r="B83" s="113"/>
      <c r="C83" s="114"/>
      <c r="D83" s="88"/>
      <c r="E83" s="88"/>
      <c r="F83" s="88"/>
      <c r="G83" s="565"/>
      <c r="H83" s="656"/>
      <c r="I83" s="656"/>
      <c r="J83" s="632"/>
      <c r="K83" s="823"/>
      <c r="L83" s="656"/>
      <c r="M83" s="656"/>
      <c r="N83" s="656"/>
      <c r="O83" s="656"/>
      <c r="P83" s="656"/>
      <c r="Q83" s="656"/>
      <c r="R83" s="656"/>
      <c r="S83" s="656"/>
      <c r="T83" s="656"/>
      <c r="U83" s="656"/>
      <c r="V83" s="656"/>
      <c r="W83" s="656"/>
      <c r="X83" s="686"/>
    </row>
    <row r="84" spans="1:24" ht="13.5" thickBot="1">
      <c r="A84" s="453" t="s">
        <v>774</v>
      </c>
      <c r="B84" s="115" t="s">
        <v>772</v>
      </c>
      <c r="C84" s="443" t="s">
        <v>773</v>
      </c>
      <c r="D84" s="443" t="s">
        <v>80</v>
      </c>
      <c r="E84" s="444" t="s">
        <v>100</v>
      </c>
      <c r="F84" s="88"/>
      <c r="G84" s="747">
        <f>SUM(G74:G79)</f>
        <v>0.42600000000000005</v>
      </c>
      <c r="H84" s="656"/>
      <c r="I84" s="816">
        <f>I81+I82</f>
        <v>69.899000000000001</v>
      </c>
      <c r="J84" s="802">
        <f>J81+J82</f>
        <v>92.042000000000002</v>
      </c>
      <c r="K84" s="824">
        <f>K81+K82</f>
        <v>8.2969999999999988</v>
      </c>
      <c r="L84" s="656"/>
      <c r="M84" s="804">
        <f>I84+J84+K84</f>
        <v>170.238</v>
      </c>
      <c r="N84" s="656"/>
      <c r="O84" s="804">
        <f>O81+O82</f>
        <v>0.20700000000000002</v>
      </c>
      <c r="P84" s="656"/>
      <c r="Q84" s="816">
        <f>Q79</f>
        <v>6.3E-2</v>
      </c>
      <c r="R84" s="817">
        <f>R79</f>
        <v>1.2E-2</v>
      </c>
      <c r="S84" s="818">
        <f>S81+S82</f>
        <v>7.8E-2</v>
      </c>
      <c r="T84" s="656"/>
      <c r="U84" s="804">
        <f>M84+O84+S84</f>
        <v>170.523</v>
      </c>
      <c r="V84" s="656"/>
      <c r="W84" s="816">
        <f>U84+G84</f>
        <v>170.94899999999998</v>
      </c>
      <c r="X84" s="685" t="s">
        <v>634</v>
      </c>
    </row>
    <row r="85" spans="1:24" ht="13" thickBot="1">
      <c r="A85" s="450"/>
      <c r="B85" s="114"/>
      <c r="C85" s="113"/>
      <c r="D85" s="88"/>
      <c r="E85" s="88"/>
      <c r="F85" s="88"/>
      <c r="G85" s="565"/>
      <c r="H85" s="656"/>
      <c r="I85" s="656"/>
      <c r="J85" s="632"/>
      <c r="K85" s="632"/>
      <c r="L85" s="656"/>
      <c r="M85" s="656"/>
      <c r="N85" s="656"/>
      <c r="O85" s="656"/>
      <c r="P85" s="656"/>
      <c r="Q85" s="656"/>
      <c r="R85" s="656"/>
      <c r="S85" s="656"/>
      <c r="T85" s="656"/>
      <c r="U85" s="656"/>
      <c r="V85" s="656"/>
      <c r="W85" s="656"/>
      <c r="X85" s="665"/>
    </row>
    <row r="86" spans="1:24" ht="18.5" thickBot="1">
      <c r="A86" s="453" t="s">
        <v>789</v>
      </c>
      <c r="B86" s="115" t="s">
        <v>775</v>
      </c>
      <c r="C86" s="443" t="s">
        <v>776</v>
      </c>
      <c r="D86" s="443" t="s">
        <v>80</v>
      </c>
      <c r="E86" s="444" t="s">
        <v>100</v>
      </c>
      <c r="F86" s="454"/>
      <c r="G86" s="747">
        <f>G84+G67</f>
        <v>7.6850000000000005</v>
      </c>
      <c r="H86" s="825"/>
      <c r="I86" s="763">
        <f>I84+I67</f>
        <v>132.58600000000001</v>
      </c>
      <c r="J86" s="826">
        <f>J84+J67</f>
        <v>244.80899999999997</v>
      </c>
      <c r="K86" s="824">
        <f>K84+K67</f>
        <v>98.561999999999998</v>
      </c>
      <c r="L86" s="656"/>
      <c r="M86" s="804">
        <f>M67+M84</f>
        <v>498.14699999999993</v>
      </c>
      <c r="N86" s="656"/>
      <c r="O86" s="804">
        <f>O67+O84</f>
        <v>22.185000000000002</v>
      </c>
      <c r="P86" s="656"/>
      <c r="Q86" s="816">
        <f>Q67+Q84</f>
        <v>2.444</v>
      </c>
      <c r="R86" s="817">
        <f>R67+R84</f>
        <v>0.47799999999999998</v>
      </c>
      <c r="S86" s="818">
        <f>S67+S84</f>
        <v>3.6359999999999992</v>
      </c>
      <c r="T86" s="656"/>
      <c r="U86" s="804">
        <f>M86+O86+S86</f>
        <v>523.96799999999985</v>
      </c>
      <c r="V86" s="656"/>
      <c r="W86" s="808">
        <f>U86+G86</f>
        <v>531.65299999999979</v>
      </c>
      <c r="X86" s="683" t="s">
        <v>634</v>
      </c>
    </row>
    <row r="87" spans="1:24">
      <c r="A87" s="88"/>
      <c r="B87" s="88"/>
      <c r="C87" s="88"/>
      <c r="D87" s="88"/>
      <c r="E87" s="88"/>
    </row>
  </sheetData>
  <mergeCells count="4">
    <mergeCell ref="G9:G11"/>
    <mergeCell ref="I7:U7"/>
    <mergeCell ref="O8:S8"/>
    <mergeCell ref="G5:X5"/>
  </mergeCells>
  <phoneticPr fontId="4" type="noConversion"/>
  <pageMargins left="0.74803149606299213" right="0.74803149606299213" top="0.98425196850393704" bottom="0.98425196850393704" header="0.51181102362204722" footer="0.51181102362204722"/>
  <pageSetup paperSize="8" scale="40" orientation="landscape" r:id="rId1"/>
  <headerFooter alignWithMargins="0">
    <oddFooter>&amp;RRegulatory Accounts - M tables 2010-11 v1.2&amp;L&amp;1#&amp;"Arial"&amp;11&amp;K000000SW Internal Commercial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>
    <pageSetUpPr fitToPage="1"/>
  </sheetPr>
  <dimension ref="A1:R74"/>
  <sheetViews>
    <sheetView zoomScaleNormal="100" zoomScaleSheetLayoutView="100" workbookViewId="0">
      <selection activeCell="H63" sqref="H63"/>
    </sheetView>
  </sheetViews>
  <sheetFormatPr defaultColWidth="9.1796875" defaultRowHeight="12.5"/>
  <cols>
    <col min="1" max="1" width="7.26953125" style="201" customWidth="1"/>
    <col min="2" max="2" width="76.453125" style="204" customWidth="1"/>
    <col min="3" max="3" width="10.1796875" style="210" customWidth="1"/>
    <col min="4" max="4" width="6.54296875" style="204" bestFit="1" customWidth="1"/>
    <col min="5" max="5" width="9.453125" style="204" customWidth="1"/>
    <col min="6" max="7" width="15.453125" style="204" customWidth="1"/>
    <col min="8" max="8" width="16.26953125" style="204" bestFit="1" customWidth="1"/>
    <col min="9" max="9" width="5" style="204" customWidth="1"/>
    <col min="10" max="11" width="9.1796875" style="204"/>
    <col min="12" max="12" width="10.1796875" style="204" customWidth="1"/>
    <col min="13" max="16384" width="9.1796875" style="204"/>
  </cols>
  <sheetData>
    <row r="1" spans="1:8" ht="13">
      <c r="B1" s="202"/>
      <c r="C1" s="203"/>
    </row>
    <row r="2" spans="1:8" s="206" customFormat="1" ht="15.5">
      <c r="A2" s="205" t="s">
        <v>64</v>
      </c>
      <c r="C2" s="207"/>
    </row>
    <row r="3" spans="1:8" s="206" customFormat="1" ht="15.5">
      <c r="A3" s="205" t="s">
        <v>790</v>
      </c>
      <c r="B3" s="208"/>
      <c r="C3" s="209"/>
    </row>
    <row r="5" spans="1:8" ht="13">
      <c r="A5" s="457" t="s">
        <v>66</v>
      </c>
      <c r="B5" s="457" t="s">
        <v>67</v>
      </c>
      <c r="C5" s="487" t="s">
        <v>68</v>
      </c>
      <c r="D5" s="487" t="s">
        <v>69</v>
      </c>
      <c r="E5" s="490" t="s">
        <v>70</v>
      </c>
      <c r="F5" s="458" t="str">
        <f>reportminus2</f>
        <v>2017-18</v>
      </c>
      <c r="G5" s="458" t="str">
        <f>reportminus1</f>
        <v>2018-19</v>
      </c>
      <c r="H5" s="458" t="str">
        <f>reportyear</f>
        <v>2019-20</v>
      </c>
    </row>
    <row r="6" spans="1:8" ht="13">
      <c r="A6" s="489"/>
      <c r="B6" s="489"/>
      <c r="C6" s="488" t="s">
        <v>563</v>
      </c>
      <c r="D6" s="488"/>
      <c r="E6" s="491" t="s">
        <v>73</v>
      </c>
      <c r="F6" s="492"/>
      <c r="G6" s="492"/>
      <c r="H6" s="492"/>
    </row>
    <row r="8" spans="1:8" ht="13">
      <c r="A8" s="211"/>
      <c r="B8" s="212" t="s">
        <v>791</v>
      </c>
      <c r="C8" s="213"/>
      <c r="D8" s="213"/>
      <c r="E8" s="213"/>
      <c r="F8" s="213"/>
      <c r="G8" s="214"/>
      <c r="H8" s="214"/>
    </row>
    <row r="9" spans="1:8">
      <c r="A9" s="215" t="s">
        <v>792</v>
      </c>
      <c r="B9" s="216" t="s">
        <v>793</v>
      </c>
      <c r="C9" s="217" t="s">
        <v>794</v>
      </c>
      <c r="D9" s="218" t="s">
        <v>80</v>
      </c>
      <c r="E9" s="218" t="s">
        <v>237</v>
      </c>
      <c r="F9" s="560">
        <v>782.45799999999997</v>
      </c>
      <c r="G9" s="560">
        <v>847.633104</v>
      </c>
      <c r="H9" s="560">
        <v>972.31846700000006</v>
      </c>
    </row>
    <row r="10" spans="1:8">
      <c r="A10" s="215" t="s">
        <v>795</v>
      </c>
      <c r="B10" s="219" t="s">
        <v>796</v>
      </c>
      <c r="C10" s="217" t="s">
        <v>794</v>
      </c>
      <c r="D10" s="218" t="s">
        <v>80</v>
      </c>
      <c r="E10" s="218" t="s">
        <v>237</v>
      </c>
      <c r="F10" s="560">
        <v>326.12900000000002</v>
      </c>
      <c r="G10" s="560">
        <v>443.91300000000001</v>
      </c>
      <c r="H10" s="560">
        <v>522.28236300000003</v>
      </c>
    </row>
    <row r="11" spans="1:8">
      <c r="A11" s="215" t="s">
        <v>797</v>
      </c>
      <c r="B11" s="219" t="s">
        <v>798</v>
      </c>
      <c r="C11" s="217"/>
      <c r="D11" s="218" t="s">
        <v>80</v>
      </c>
      <c r="E11" s="218" t="s">
        <v>237</v>
      </c>
      <c r="F11" s="560">
        <v>626.779</v>
      </c>
      <c r="G11" s="560">
        <v>633.37836300000004</v>
      </c>
      <c r="H11" s="560">
        <v>628.14814899999999</v>
      </c>
    </row>
    <row r="12" spans="1:8">
      <c r="A12" s="215" t="s">
        <v>799</v>
      </c>
      <c r="B12" s="220" t="s">
        <v>800</v>
      </c>
      <c r="C12" s="217" t="s">
        <v>801</v>
      </c>
      <c r="D12" s="218" t="s">
        <v>80</v>
      </c>
      <c r="E12" s="218" t="s">
        <v>237</v>
      </c>
      <c r="F12" s="560">
        <v>512.35699999999997</v>
      </c>
      <c r="G12" s="560">
        <v>496.69299999999998</v>
      </c>
      <c r="H12" s="560">
        <v>615.53139999999996</v>
      </c>
    </row>
    <row r="13" spans="1:8">
      <c r="A13" s="215" t="s">
        <v>802</v>
      </c>
      <c r="B13" s="220" t="s">
        <v>803</v>
      </c>
      <c r="C13" s="217" t="s">
        <v>794</v>
      </c>
      <c r="D13" s="218" t="s">
        <v>80</v>
      </c>
      <c r="E13" s="218" t="s">
        <v>237</v>
      </c>
      <c r="F13" s="560">
        <v>508.995</v>
      </c>
      <c r="G13" s="560">
        <v>555.00900000000001</v>
      </c>
      <c r="H13" s="560">
        <v>605.76494400000001</v>
      </c>
    </row>
    <row r="14" spans="1:8">
      <c r="A14" s="215" t="s">
        <v>804</v>
      </c>
      <c r="B14" s="219" t="s">
        <v>805</v>
      </c>
      <c r="C14" s="217" t="s">
        <v>794</v>
      </c>
      <c r="D14" s="218" t="s">
        <v>80</v>
      </c>
      <c r="E14" s="218" t="s">
        <v>100</v>
      </c>
      <c r="F14" s="228">
        <f>F10+F11-F13</f>
        <v>443.91300000000001</v>
      </c>
      <c r="G14" s="228">
        <f>G10+G11-G13</f>
        <v>522.28236300000003</v>
      </c>
      <c r="H14" s="228">
        <f>H10+H11-H13</f>
        <v>544.66556799999989</v>
      </c>
    </row>
    <row r="15" spans="1:8">
      <c r="A15" s="215" t="s">
        <v>806</v>
      </c>
      <c r="B15" s="220" t="s">
        <v>807</v>
      </c>
      <c r="C15" s="217" t="s">
        <v>808</v>
      </c>
      <c r="D15" s="218" t="s">
        <v>80</v>
      </c>
      <c r="E15" s="218" t="s">
        <v>237</v>
      </c>
      <c r="F15" s="560">
        <v>0</v>
      </c>
      <c r="G15" s="560">
        <v>1.258894</v>
      </c>
      <c r="H15" s="560">
        <v>0</v>
      </c>
    </row>
    <row r="16" spans="1:8">
      <c r="A16" s="215" t="s">
        <v>809</v>
      </c>
      <c r="B16" s="220" t="s">
        <v>810</v>
      </c>
      <c r="C16" s="217" t="s">
        <v>811</v>
      </c>
      <c r="D16" s="218" t="s">
        <v>80</v>
      </c>
      <c r="E16" s="218" t="s">
        <v>237</v>
      </c>
      <c r="F16" s="560">
        <v>124.15623100000001</v>
      </c>
      <c r="G16" s="560">
        <v>185.98846900000001</v>
      </c>
      <c r="H16" s="560">
        <v>192.85006297000001</v>
      </c>
    </row>
    <row r="17" spans="1:18">
      <c r="A17" s="215" t="s">
        <v>812</v>
      </c>
      <c r="B17" s="220" t="s">
        <v>813</v>
      </c>
      <c r="C17" s="217" t="s">
        <v>814</v>
      </c>
      <c r="D17" s="218" t="s">
        <v>80</v>
      </c>
      <c r="E17" s="218" t="s">
        <v>237</v>
      </c>
      <c r="F17" s="560">
        <v>219.768111</v>
      </c>
      <c r="G17" s="560">
        <v>170.53181799999999</v>
      </c>
      <c r="H17" s="560">
        <v>243.36972775000001</v>
      </c>
    </row>
    <row r="18" spans="1:18">
      <c r="A18" s="215" t="s">
        <v>815</v>
      </c>
      <c r="B18" s="220" t="s">
        <v>816</v>
      </c>
      <c r="C18" s="217" t="s">
        <v>817</v>
      </c>
      <c r="D18" s="218" t="s">
        <v>80</v>
      </c>
      <c r="E18" s="218" t="s">
        <v>237</v>
      </c>
      <c r="F18" s="560">
        <v>0</v>
      </c>
      <c r="G18" s="560">
        <v>0</v>
      </c>
      <c r="H18" s="560">
        <v>0</v>
      </c>
    </row>
    <row r="19" spans="1:18">
      <c r="A19" s="215" t="s">
        <v>818</v>
      </c>
      <c r="B19" s="220" t="s">
        <v>819</v>
      </c>
      <c r="C19" s="217" t="s">
        <v>820</v>
      </c>
      <c r="D19" s="218" t="s">
        <v>80</v>
      </c>
      <c r="E19" s="218" t="s">
        <v>237</v>
      </c>
      <c r="F19" s="560">
        <v>0</v>
      </c>
      <c r="G19" s="560">
        <v>0</v>
      </c>
      <c r="H19" s="560">
        <v>0</v>
      </c>
    </row>
    <row r="20" spans="1:18">
      <c r="A20" s="215" t="s">
        <v>821</v>
      </c>
      <c r="B20" s="220" t="s">
        <v>822</v>
      </c>
      <c r="C20" s="217" t="s">
        <v>823</v>
      </c>
      <c r="D20" s="218" t="s">
        <v>80</v>
      </c>
      <c r="E20" s="218" t="s">
        <v>237</v>
      </c>
      <c r="F20" s="560">
        <v>85.6</v>
      </c>
      <c r="G20" s="560">
        <v>118</v>
      </c>
      <c r="H20" s="560">
        <v>103.3</v>
      </c>
    </row>
    <row r="21" spans="1:18">
      <c r="A21" s="215" t="s">
        <v>824</v>
      </c>
      <c r="B21" s="220" t="s">
        <v>825</v>
      </c>
      <c r="C21" s="217" t="s">
        <v>826</v>
      </c>
      <c r="D21" s="218" t="s">
        <v>80</v>
      </c>
      <c r="E21" s="218" t="s">
        <v>237</v>
      </c>
      <c r="F21" s="560">
        <v>48.325000000000003</v>
      </c>
      <c r="G21" s="560">
        <v>35.533000000000001</v>
      </c>
      <c r="H21" s="560">
        <v>24.154280839999998</v>
      </c>
    </row>
    <row r="22" spans="1:18">
      <c r="A22" s="215" t="s">
        <v>827</v>
      </c>
      <c r="B22" s="220" t="s">
        <v>828</v>
      </c>
      <c r="C22" s="217" t="s">
        <v>829</v>
      </c>
      <c r="D22" s="218" t="s">
        <v>80</v>
      </c>
      <c r="E22" s="218" t="s">
        <v>237</v>
      </c>
      <c r="F22" s="560">
        <v>0</v>
      </c>
      <c r="G22" s="560">
        <v>0</v>
      </c>
      <c r="H22" s="560">
        <v>0</v>
      </c>
    </row>
    <row r="23" spans="1:18">
      <c r="A23" s="215" t="s">
        <v>830</v>
      </c>
      <c r="B23" s="220" t="s">
        <v>831</v>
      </c>
      <c r="C23" s="217" t="s">
        <v>832</v>
      </c>
      <c r="D23" s="218" t="s">
        <v>80</v>
      </c>
      <c r="E23" s="218" t="s">
        <v>237</v>
      </c>
      <c r="F23" s="560">
        <v>0</v>
      </c>
      <c r="G23" s="560">
        <v>0</v>
      </c>
      <c r="H23" s="560">
        <v>0</v>
      </c>
    </row>
    <row r="24" spans="1:18">
      <c r="A24" s="215" t="s">
        <v>833</v>
      </c>
      <c r="B24" s="220" t="s">
        <v>834</v>
      </c>
      <c r="C24" s="217" t="s">
        <v>835</v>
      </c>
      <c r="D24" s="218" t="s">
        <v>80</v>
      </c>
      <c r="E24" s="218" t="s">
        <v>237</v>
      </c>
      <c r="F24" s="560">
        <v>31.145589999999999</v>
      </c>
      <c r="G24" s="560">
        <v>43.696759</v>
      </c>
      <c r="H24" s="560">
        <v>42.090872040000001</v>
      </c>
    </row>
    <row r="25" spans="1:18">
      <c r="A25" s="215" t="s">
        <v>836</v>
      </c>
      <c r="B25" s="220" t="s">
        <v>837</v>
      </c>
      <c r="C25" s="217" t="s">
        <v>838</v>
      </c>
      <c r="D25" s="218" t="s">
        <v>80</v>
      </c>
      <c r="E25" s="218" t="s">
        <v>237</v>
      </c>
      <c r="F25" s="560">
        <v>0</v>
      </c>
      <c r="G25" s="560">
        <v>0</v>
      </c>
      <c r="H25" s="560">
        <v>0</v>
      </c>
    </row>
    <row r="26" spans="1:18">
      <c r="B26" s="214"/>
      <c r="C26" s="213"/>
      <c r="F26" s="210"/>
      <c r="G26" s="210"/>
      <c r="H26" s="210"/>
    </row>
    <row r="27" spans="1:18" ht="13">
      <c r="A27" s="221"/>
      <c r="B27" s="212" t="s">
        <v>839</v>
      </c>
      <c r="F27" s="210"/>
      <c r="G27" s="210"/>
      <c r="H27" s="210"/>
      <c r="R27" s="210"/>
    </row>
    <row r="28" spans="1:18">
      <c r="A28" s="222" t="s">
        <v>840</v>
      </c>
      <c r="B28" s="220" t="s">
        <v>841</v>
      </c>
      <c r="C28" s="217" t="s">
        <v>842</v>
      </c>
      <c r="D28" s="223" t="s">
        <v>843</v>
      </c>
      <c r="E28" s="223" t="s">
        <v>237</v>
      </c>
      <c r="F28" s="560">
        <v>0</v>
      </c>
      <c r="G28" s="560">
        <v>0</v>
      </c>
      <c r="H28" s="560">
        <v>0</v>
      </c>
      <c r="R28" s="210"/>
    </row>
    <row r="29" spans="1:18">
      <c r="A29" s="222" t="s">
        <v>844</v>
      </c>
      <c r="B29" s="220" t="s">
        <v>845</v>
      </c>
      <c r="C29" s="217" t="s">
        <v>846</v>
      </c>
      <c r="D29" s="223" t="s">
        <v>843</v>
      </c>
      <c r="E29" s="223" t="s">
        <v>237</v>
      </c>
      <c r="F29" s="560">
        <v>0</v>
      </c>
      <c r="G29" s="560">
        <v>0</v>
      </c>
      <c r="H29" s="560">
        <v>0</v>
      </c>
      <c r="R29" s="210"/>
    </row>
    <row r="30" spans="1:18">
      <c r="A30" s="222" t="s">
        <v>847</v>
      </c>
      <c r="B30" s="220" t="s">
        <v>848</v>
      </c>
      <c r="C30" s="217" t="s">
        <v>849</v>
      </c>
      <c r="D30" s="223" t="s">
        <v>80</v>
      </c>
      <c r="E30" s="223" t="s">
        <v>237</v>
      </c>
      <c r="F30" s="560">
        <v>642.38300000000004</v>
      </c>
      <c r="G30" s="560">
        <v>628.56241599999998</v>
      </c>
      <c r="H30" s="560">
        <v>667.93172600000003</v>
      </c>
      <c r="R30" s="210"/>
    </row>
    <row r="31" spans="1:18">
      <c r="A31" s="222" t="s">
        <v>850</v>
      </c>
      <c r="B31" s="220" t="s">
        <v>851</v>
      </c>
      <c r="C31" s="217" t="s">
        <v>852</v>
      </c>
      <c r="D31" s="223" t="s">
        <v>80</v>
      </c>
      <c r="E31" s="223" t="s">
        <v>237</v>
      </c>
      <c r="F31" s="560">
        <v>1581.1880000000001</v>
      </c>
      <c r="G31" s="560">
        <v>1656.8798710000001</v>
      </c>
      <c r="H31" s="560">
        <v>1681.218754</v>
      </c>
    </row>
    <row r="32" spans="1:18">
      <c r="A32" s="222" t="s">
        <v>853</v>
      </c>
      <c r="B32" s="220" t="s">
        <v>854</v>
      </c>
      <c r="C32" s="217" t="s">
        <v>855</v>
      </c>
      <c r="D32" s="223" t="s">
        <v>80</v>
      </c>
      <c r="E32" s="223" t="s">
        <v>237</v>
      </c>
      <c r="F32" s="560">
        <v>0</v>
      </c>
      <c r="G32" s="560">
        <v>0</v>
      </c>
      <c r="H32" s="560">
        <v>0</v>
      </c>
      <c r="R32" s="210"/>
    </row>
    <row r="33" spans="1:18">
      <c r="A33" s="222" t="s">
        <v>856</v>
      </c>
      <c r="B33" s="220" t="s">
        <v>857</v>
      </c>
      <c r="C33" s="217"/>
      <c r="D33" s="223" t="s">
        <v>80</v>
      </c>
      <c r="E33" s="223" t="s">
        <v>237</v>
      </c>
      <c r="F33" s="560">
        <v>71.123000000000005</v>
      </c>
      <c r="G33" s="560">
        <v>75.977000000000004</v>
      </c>
      <c r="H33" s="560">
        <v>87.101010000000002</v>
      </c>
      <c r="R33" s="210"/>
    </row>
    <row r="34" spans="1:18">
      <c r="A34" s="222" t="s">
        <v>858</v>
      </c>
      <c r="B34" s="220" t="s">
        <v>859</v>
      </c>
      <c r="C34" s="217" t="s">
        <v>860</v>
      </c>
      <c r="D34" s="223" t="s">
        <v>80</v>
      </c>
      <c r="E34" s="223" t="s">
        <v>237</v>
      </c>
      <c r="F34" s="560">
        <v>142.96299999999999</v>
      </c>
      <c r="G34" s="560">
        <v>122.890396</v>
      </c>
      <c r="H34" s="560">
        <v>101.44259</v>
      </c>
      <c r="R34" s="210"/>
    </row>
    <row r="35" spans="1:18">
      <c r="F35" s="827"/>
      <c r="G35" s="827"/>
      <c r="H35" s="827"/>
    </row>
    <row r="36" spans="1:18" ht="13">
      <c r="A36" s="224"/>
      <c r="B36" s="225" t="s">
        <v>861</v>
      </c>
      <c r="F36" s="827"/>
      <c r="G36" s="827"/>
      <c r="H36" s="827"/>
    </row>
    <row r="37" spans="1:18">
      <c r="A37" s="226" t="s">
        <v>862</v>
      </c>
      <c r="B37" s="227" t="s">
        <v>863</v>
      </c>
      <c r="C37" s="217" t="s">
        <v>864</v>
      </c>
      <c r="D37" s="223" t="s">
        <v>80</v>
      </c>
      <c r="E37" s="223" t="s">
        <v>237</v>
      </c>
      <c r="F37" s="560">
        <v>225.959</v>
      </c>
      <c r="G37" s="560">
        <v>231.79526300000001</v>
      </c>
      <c r="H37" s="560">
        <v>243.47689100000002</v>
      </c>
    </row>
    <row r="38" spans="1:18">
      <c r="A38" s="226" t="s">
        <v>865</v>
      </c>
      <c r="B38" s="227" t="s">
        <v>866</v>
      </c>
      <c r="C38" s="217" t="s">
        <v>867</v>
      </c>
      <c r="D38" s="223" t="s">
        <v>80</v>
      </c>
      <c r="E38" s="223" t="s">
        <v>237</v>
      </c>
      <c r="F38" s="560">
        <v>235.46799999999999</v>
      </c>
      <c r="G38" s="560">
        <v>243.77978899999999</v>
      </c>
      <c r="H38" s="560">
        <v>253.437746</v>
      </c>
    </row>
    <row r="39" spans="1:18">
      <c r="A39" s="226" t="s">
        <v>868</v>
      </c>
      <c r="B39" s="227" t="s">
        <v>869</v>
      </c>
      <c r="C39" s="217" t="s">
        <v>870</v>
      </c>
      <c r="D39" s="223" t="s">
        <v>80</v>
      </c>
      <c r="E39" s="223" t="s">
        <v>237</v>
      </c>
      <c r="F39" s="560">
        <v>124.1</v>
      </c>
      <c r="G39" s="560">
        <v>128.19999999999999</v>
      </c>
      <c r="H39" s="560">
        <v>131.4</v>
      </c>
    </row>
    <row r="40" spans="1:18">
      <c r="A40" s="226" t="s">
        <v>871</v>
      </c>
      <c r="B40" s="220" t="s">
        <v>872</v>
      </c>
      <c r="C40" s="218" t="s">
        <v>794</v>
      </c>
      <c r="D40" s="223" t="s">
        <v>80</v>
      </c>
      <c r="E40" s="223" t="s">
        <v>237</v>
      </c>
      <c r="F40" s="560">
        <v>4.242</v>
      </c>
      <c r="G40" s="560">
        <v>4.01539</v>
      </c>
      <c r="H40" s="560">
        <v>4.086551</v>
      </c>
    </row>
    <row r="41" spans="1:18">
      <c r="A41" s="226" t="s">
        <v>873</v>
      </c>
      <c r="B41" s="220" t="s">
        <v>874</v>
      </c>
      <c r="C41" s="218" t="s">
        <v>794</v>
      </c>
      <c r="D41" s="223" t="s">
        <v>80</v>
      </c>
      <c r="E41" s="223" t="s">
        <v>237</v>
      </c>
      <c r="F41" s="560">
        <v>-0.98599999999999999</v>
      </c>
      <c r="G41" s="560">
        <v>-0.98561299999999996</v>
      </c>
      <c r="H41" s="560">
        <v>-0.98561299999999996</v>
      </c>
    </row>
    <row r="42" spans="1:18">
      <c r="A42" s="226" t="s">
        <v>875</v>
      </c>
      <c r="B42" s="227" t="s">
        <v>876</v>
      </c>
      <c r="C42" s="217" t="s">
        <v>877</v>
      </c>
      <c r="D42" s="223" t="s">
        <v>80</v>
      </c>
      <c r="E42" s="223" t="s">
        <v>237</v>
      </c>
      <c r="F42" s="560">
        <v>-85.6</v>
      </c>
      <c r="G42" s="560">
        <v>-118</v>
      </c>
      <c r="H42" s="560">
        <v>-103.3</v>
      </c>
    </row>
    <row r="43" spans="1:18">
      <c r="A43" s="226" t="s">
        <v>878</v>
      </c>
      <c r="B43" s="227" t="s">
        <v>879</v>
      </c>
      <c r="C43" s="217" t="s">
        <v>880</v>
      </c>
      <c r="D43" s="223" t="s">
        <v>80</v>
      </c>
      <c r="E43" s="223" t="s">
        <v>100</v>
      </c>
      <c r="F43" s="228">
        <f>SUM(F37:F42)</f>
        <v>503.18299999999999</v>
      </c>
      <c r="G43" s="228">
        <f>SUM(G37:G42)</f>
        <v>488.80482900000004</v>
      </c>
      <c r="H43" s="228">
        <f>SUM(H37:H42)</f>
        <v>528.11557500000015</v>
      </c>
    </row>
    <row r="44" spans="1:18">
      <c r="B44" s="214"/>
      <c r="C44" s="213"/>
      <c r="F44" s="210"/>
      <c r="G44" s="210"/>
      <c r="H44" s="210"/>
    </row>
    <row r="45" spans="1:18" ht="13">
      <c r="A45" s="229"/>
      <c r="B45" s="230" t="s">
        <v>881</v>
      </c>
      <c r="F45" s="210"/>
      <c r="G45" s="210"/>
      <c r="H45" s="210"/>
    </row>
    <row r="46" spans="1:18">
      <c r="A46" s="222" t="s">
        <v>882</v>
      </c>
      <c r="B46" s="231" t="s">
        <v>883</v>
      </c>
      <c r="C46" s="217" t="s">
        <v>884</v>
      </c>
      <c r="D46" s="223" t="s">
        <v>80</v>
      </c>
      <c r="E46" s="218" t="s">
        <v>237</v>
      </c>
      <c r="F46" s="560">
        <v>41.338999999999999</v>
      </c>
      <c r="G46" s="560">
        <v>48.325164000000001</v>
      </c>
      <c r="H46" s="560">
        <v>35.533000000000001</v>
      </c>
    </row>
    <row r="47" spans="1:18">
      <c r="A47" s="222" t="s">
        <v>885</v>
      </c>
      <c r="B47" s="231" t="s">
        <v>886</v>
      </c>
      <c r="C47" s="217" t="s">
        <v>887</v>
      </c>
      <c r="D47" s="223" t="s">
        <v>80</v>
      </c>
      <c r="E47" s="218" t="s">
        <v>237</v>
      </c>
      <c r="F47" s="560">
        <v>0</v>
      </c>
      <c r="G47" s="560">
        <v>0</v>
      </c>
      <c r="H47" s="560">
        <v>0</v>
      </c>
    </row>
    <row r="48" spans="1:18">
      <c r="A48" s="222" t="s">
        <v>888</v>
      </c>
      <c r="B48" s="231" t="s">
        <v>889</v>
      </c>
      <c r="C48" s="217" t="s">
        <v>890</v>
      </c>
      <c r="D48" s="223" t="s">
        <v>80</v>
      </c>
      <c r="E48" s="218" t="s">
        <v>237</v>
      </c>
      <c r="F48" s="560">
        <v>149.917</v>
      </c>
      <c r="G48" s="560">
        <v>148.22614100000001</v>
      </c>
      <c r="H48" s="560">
        <v>146.30171100000001</v>
      </c>
    </row>
    <row r="49" spans="1:8">
      <c r="A49" s="222" t="s">
        <v>891</v>
      </c>
      <c r="B49" s="231" t="s">
        <v>892</v>
      </c>
      <c r="C49" s="217" t="s">
        <v>893</v>
      </c>
      <c r="D49" s="223" t="s">
        <v>80</v>
      </c>
      <c r="E49" s="218" t="s">
        <v>237</v>
      </c>
      <c r="F49" s="560">
        <v>137.977116</v>
      </c>
      <c r="G49" s="560">
        <v>147.87805299999999</v>
      </c>
      <c r="H49" s="560">
        <v>154.9439959</v>
      </c>
    </row>
    <row r="50" spans="1:8">
      <c r="A50" s="222" t="s">
        <v>894</v>
      </c>
      <c r="B50" s="231" t="s">
        <v>895</v>
      </c>
      <c r="C50" s="217" t="s">
        <v>896</v>
      </c>
      <c r="D50" s="223" t="s">
        <v>80</v>
      </c>
      <c r="E50" s="218" t="s">
        <v>237</v>
      </c>
      <c r="F50" s="560">
        <v>144.07651000000001</v>
      </c>
      <c r="G50" s="560">
        <v>146.19293500000001</v>
      </c>
      <c r="H50" s="560">
        <v>116.04009056999999</v>
      </c>
    </row>
    <row r="51" spans="1:8">
      <c r="A51" s="222" t="s">
        <v>897</v>
      </c>
      <c r="B51" s="232" t="s">
        <v>898</v>
      </c>
      <c r="C51" s="217" t="s">
        <v>899</v>
      </c>
      <c r="D51" s="223" t="s">
        <v>80</v>
      </c>
      <c r="E51" s="218" t="s">
        <v>237</v>
      </c>
      <c r="F51" s="560">
        <v>0</v>
      </c>
      <c r="G51" s="560">
        <v>0</v>
      </c>
      <c r="H51" s="560">
        <v>0</v>
      </c>
    </row>
    <row r="52" spans="1:8">
      <c r="A52" s="222" t="s">
        <v>900</v>
      </c>
      <c r="B52" s="227" t="s">
        <v>901</v>
      </c>
      <c r="C52" s="217" t="s">
        <v>902</v>
      </c>
      <c r="D52" s="223" t="s">
        <v>80</v>
      </c>
      <c r="E52" s="218" t="s">
        <v>237</v>
      </c>
      <c r="F52" s="560">
        <v>-4.2713489999999998</v>
      </c>
      <c r="G52" s="560">
        <v>1.1970450000000001</v>
      </c>
      <c r="H52" s="560">
        <v>-22.158239999999971</v>
      </c>
    </row>
    <row r="53" spans="1:8">
      <c r="A53" s="222" t="s">
        <v>903</v>
      </c>
      <c r="B53" s="227" t="s">
        <v>904</v>
      </c>
      <c r="C53" s="217" t="s">
        <v>905</v>
      </c>
      <c r="D53" s="223" t="s">
        <v>80</v>
      </c>
      <c r="E53" s="218" t="s">
        <v>100</v>
      </c>
      <c r="F53" s="228">
        <f>SUM(F46:F52)</f>
        <v>469.03827699999999</v>
      </c>
      <c r="G53" s="228">
        <f>SUM(G46:G52)</f>
        <v>491.81933800000002</v>
      </c>
      <c r="H53" s="228">
        <f>SUM(H46:H52)</f>
        <v>430.66055747000007</v>
      </c>
    </row>
    <row r="54" spans="1:8">
      <c r="A54" s="233"/>
      <c r="F54" s="210"/>
      <c r="G54" s="210"/>
      <c r="H54" s="210"/>
    </row>
    <row r="55" spans="1:8" ht="13">
      <c r="A55" s="224"/>
      <c r="B55" s="225" t="s">
        <v>906</v>
      </c>
      <c r="F55" s="210"/>
      <c r="G55" s="210"/>
      <c r="H55" s="210"/>
    </row>
    <row r="56" spans="1:8">
      <c r="A56" s="234" t="s">
        <v>907</v>
      </c>
      <c r="B56" s="227" t="s">
        <v>837</v>
      </c>
      <c r="C56" s="217" t="s">
        <v>908</v>
      </c>
      <c r="D56" s="235" t="s">
        <v>80</v>
      </c>
      <c r="E56" s="218" t="s">
        <v>100</v>
      </c>
      <c r="F56" s="228">
        <f>+F25*-1</f>
        <v>0</v>
      </c>
      <c r="G56" s="228">
        <f>+G25*-1</f>
        <v>0</v>
      </c>
      <c r="H56" s="228">
        <f>+H25*-1</f>
        <v>0</v>
      </c>
    </row>
    <row r="57" spans="1:8">
      <c r="A57" s="234" t="s">
        <v>909</v>
      </c>
      <c r="B57" s="227" t="s">
        <v>910</v>
      </c>
      <c r="C57" s="217" t="s">
        <v>911</v>
      </c>
      <c r="D57" s="235" t="s">
        <v>80</v>
      </c>
      <c r="E57" s="218" t="s">
        <v>237</v>
      </c>
      <c r="F57" s="560">
        <v>1.198</v>
      </c>
      <c r="G57" s="560">
        <v>13.141223</v>
      </c>
      <c r="H57" s="560">
        <v>1.1978040000000001</v>
      </c>
    </row>
    <row r="58" spans="1:8">
      <c r="A58" s="234" t="s">
        <v>912</v>
      </c>
      <c r="B58" s="236" t="s">
        <v>913</v>
      </c>
      <c r="C58" s="217" t="s">
        <v>914</v>
      </c>
      <c r="D58" s="235" t="s">
        <v>80</v>
      </c>
      <c r="E58" s="218" t="s">
        <v>100</v>
      </c>
      <c r="F58" s="228">
        <f>SUM(F56:F57)</f>
        <v>1.198</v>
      </c>
      <c r="G58" s="228">
        <f>SUM(G56:G57)</f>
        <v>13.141223</v>
      </c>
      <c r="H58" s="228">
        <f>SUM(H56:H57)</f>
        <v>1.1978040000000001</v>
      </c>
    </row>
    <row r="59" spans="1:8">
      <c r="A59" s="233"/>
      <c r="F59" s="210"/>
      <c r="G59" s="210"/>
      <c r="H59" s="210"/>
    </row>
    <row r="60" spans="1:8" ht="13">
      <c r="A60" s="224"/>
      <c r="B60" s="225" t="s">
        <v>249</v>
      </c>
      <c r="F60" s="210"/>
      <c r="G60" s="210"/>
      <c r="H60" s="210"/>
    </row>
    <row r="61" spans="1:8">
      <c r="A61" s="226" t="s">
        <v>915</v>
      </c>
      <c r="B61" s="236" t="s">
        <v>916</v>
      </c>
      <c r="C61" s="217" t="s">
        <v>917</v>
      </c>
      <c r="D61" s="235" t="s">
        <v>80</v>
      </c>
      <c r="E61" s="218" t="s">
        <v>100</v>
      </c>
      <c r="F61" s="228">
        <f>+F43+F58-F53</f>
        <v>35.342722999999978</v>
      </c>
      <c r="G61" s="228">
        <f>+G43+G58-G53</f>
        <v>10.12671400000005</v>
      </c>
      <c r="H61" s="228">
        <f>+H43+H58-H53</f>
        <v>98.652821530000097</v>
      </c>
    </row>
    <row r="62" spans="1:8">
      <c r="A62" s="226" t="s">
        <v>918</v>
      </c>
      <c r="B62" s="236" t="s">
        <v>919</v>
      </c>
      <c r="C62" s="217" t="s">
        <v>920</v>
      </c>
      <c r="D62" s="235" t="s">
        <v>80</v>
      </c>
      <c r="E62" s="218" t="s">
        <v>237</v>
      </c>
      <c r="F62" s="560">
        <v>22.248999999999999</v>
      </c>
      <c r="G62" s="560">
        <v>21.962253</v>
      </c>
      <c r="H62" s="560">
        <v>51.027999999999999</v>
      </c>
    </row>
    <row r="63" spans="1:8">
      <c r="A63" s="226" t="s">
        <v>921</v>
      </c>
      <c r="B63" s="236" t="s">
        <v>922</v>
      </c>
      <c r="C63" s="217" t="s">
        <v>923</v>
      </c>
      <c r="D63" s="235" t="s">
        <v>80</v>
      </c>
      <c r="E63" s="218" t="s">
        <v>237</v>
      </c>
      <c r="F63" s="560">
        <v>2.9062229999999998</v>
      </c>
      <c r="G63" s="560">
        <v>4.172828</v>
      </c>
      <c r="H63" s="560">
        <v>9.6950000000000003</v>
      </c>
    </row>
    <row r="64" spans="1:8">
      <c r="A64" s="226" t="s">
        <v>924</v>
      </c>
      <c r="B64" s="236" t="s">
        <v>925</v>
      </c>
      <c r="C64" s="217" t="s">
        <v>926</v>
      </c>
      <c r="D64" s="235" t="s">
        <v>80</v>
      </c>
      <c r="E64" s="218" t="s">
        <v>237</v>
      </c>
      <c r="F64" s="560">
        <v>0</v>
      </c>
      <c r="G64" s="560">
        <v>0</v>
      </c>
      <c r="H64" s="560">
        <v>0</v>
      </c>
    </row>
    <row r="65" spans="1:8">
      <c r="A65" s="226" t="s">
        <v>927</v>
      </c>
      <c r="B65" s="236" t="s">
        <v>928</v>
      </c>
      <c r="C65" s="217" t="s">
        <v>929</v>
      </c>
      <c r="D65" s="235" t="s">
        <v>80</v>
      </c>
      <c r="E65" s="218" t="s">
        <v>100</v>
      </c>
      <c r="F65" s="228">
        <f>+F63+F64</f>
        <v>2.9062229999999998</v>
      </c>
      <c r="G65" s="228">
        <f>+G63+G64</f>
        <v>4.172828</v>
      </c>
      <c r="H65" s="228">
        <f>+H63+H64</f>
        <v>9.6950000000000003</v>
      </c>
    </row>
    <row r="66" spans="1:8">
      <c r="B66" s="214"/>
      <c r="C66" s="213"/>
    </row>
    <row r="67" spans="1:8">
      <c r="C67" s="213"/>
    </row>
    <row r="68" spans="1:8">
      <c r="B68" s="214"/>
      <c r="C68" s="213"/>
    </row>
    <row r="74" spans="1:8" ht="13">
      <c r="B74" s="243"/>
    </row>
  </sheetData>
  <phoneticPr fontId="0" type="noConversion"/>
  <pageMargins left="0.74803149606299213" right="0.74803149606299213" top="0.77" bottom="0.8" header="0.51181102362204722" footer="0.51181102362204722"/>
  <pageSetup paperSize="9" scale="58" orientation="landscape" r:id="rId1"/>
  <headerFooter alignWithMargins="0">
    <oddFooter>&amp;L&amp;1#&amp;"Arial"&amp;11&amp;K000000SW Internal Commercial</oddFooter>
  </headerFooter>
  <ignoredErrors>
    <ignoredError sqref="A9:A65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1">
    <pageSetUpPr fitToPage="1"/>
  </sheetPr>
  <dimension ref="A2:Q38"/>
  <sheetViews>
    <sheetView zoomScaleNormal="100" zoomScaleSheetLayoutView="100" workbookViewId="0">
      <pane xSplit="2" topLeftCell="H1" activePane="topRight" state="frozen"/>
      <selection pane="topRight" activeCell="O21" sqref="O21"/>
    </sheetView>
  </sheetViews>
  <sheetFormatPr defaultColWidth="9.1796875" defaultRowHeight="12.5"/>
  <cols>
    <col min="1" max="1" width="9.1796875" style="24"/>
    <col min="2" max="2" width="58.1796875" style="10" customWidth="1"/>
    <col min="3" max="5" width="9.1796875" style="10"/>
    <col min="6" max="8" width="14.7265625" style="10" customWidth="1"/>
    <col min="9" max="9" width="16.54296875" style="10" bestFit="1" customWidth="1"/>
    <col min="10" max="14" width="14.7265625" style="10" customWidth="1"/>
    <col min="15" max="15" width="10.453125" style="10" customWidth="1"/>
    <col min="16" max="16" width="8.453125" style="10" customWidth="1"/>
    <col min="17" max="17" width="9.1796875" style="10" customWidth="1"/>
    <col min="18" max="16384" width="9.1796875" style="10"/>
  </cols>
  <sheetData>
    <row r="2" spans="1:17" s="55" customFormat="1" ht="15.5">
      <c r="A2" s="54" t="s">
        <v>64</v>
      </c>
    </row>
    <row r="3" spans="1:17" s="55" customFormat="1" ht="15.5">
      <c r="A3" s="54" t="s">
        <v>930</v>
      </c>
    </row>
    <row r="4" spans="1:17" s="20" customFormat="1" ht="13">
      <c r="A4" s="180"/>
      <c r="B4" s="19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5" spans="1:17" ht="13">
      <c r="A5" s="49" t="s">
        <v>66</v>
      </c>
      <c r="B5" s="38" t="s">
        <v>67</v>
      </c>
      <c r="C5" s="39" t="s">
        <v>68</v>
      </c>
      <c r="D5" s="39" t="s">
        <v>69</v>
      </c>
      <c r="E5" s="40" t="s">
        <v>70</v>
      </c>
      <c r="F5" s="865" t="str">
        <f>reportminus2</f>
        <v>2017-18</v>
      </c>
      <c r="G5" s="866"/>
      <c r="H5" s="867"/>
      <c r="I5" s="868" t="str">
        <f>reportminus1</f>
        <v>2018-19</v>
      </c>
      <c r="J5" s="869"/>
      <c r="K5" s="870"/>
      <c r="L5" s="868" t="str">
        <f>reportyear</f>
        <v>2019-20</v>
      </c>
      <c r="M5" s="869"/>
      <c r="N5" s="870"/>
      <c r="O5" s="67"/>
      <c r="P5" s="67"/>
      <c r="Q5" s="67"/>
    </row>
    <row r="6" spans="1:17" ht="13">
      <c r="A6" s="50"/>
      <c r="B6" s="158"/>
      <c r="C6" s="42" t="s">
        <v>72</v>
      </c>
      <c r="D6" s="42"/>
      <c r="E6" s="43" t="s">
        <v>73</v>
      </c>
      <c r="F6" s="56" t="s">
        <v>508</v>
      </c>
      <c r="G6" s="56" t="s">
        <v>509</v>
      </c>
      <c r="H6" s="56" t="s">
        <v>76</v>
      </c>
      <c r="I6" s="56" t="s">
        <v>508</v>
      </c>
      <c r="J6" s="56" t="s">
        <v>509</v>
      </c>
      <c r="K6" s="56" t="s">
        <v>76</v>
      </c>
      <c r="L6" s="56" t="s">
        <v>508</v>
      </c>
      <c r="M6" s="56" t="s">
        <v>509</v>
      </c>
      <c r="N6" s="56" t="s">
        <v>76</v>
      </c>
      <c r="O6" s="67"/>
      <c r="P6" s="67"/>
      <c r="Q6" s="67"/>
    </row>
    <row r="7" spans="1:17">
      <c r="A7" s="525"/>
      <c r="B7" s="526"/>
      <c r="C7" s="527"/>
      <c r="D7" s="527"/>
      <c r="E7" s="52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</row>
    <row r="8" spans="1:17" ht="13">
      <c r="A8" s="528"/>
      <c r="B8" s="52" t="s">
        <v>931</v>
      </c>
      <c r="C8" s="527"/>
      <c r="D8" s="529"/>
      <c r="E8" s="52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</row>
    <row r="9" spans="1:17">
      <c r="A9" s="530" t="s">
        <v>932</v>
      </c>
      <c r="B9" s="531" t="s">
        <v>933</v>
      </c>
      <c r="C9" s="119" t="s">
        <v>934</v>
      </c>
      <c r="D9" s="532" t="s">
        <v>80</v>
      </c>
      <c r="E9" s="533" t="s">
        <v>935</v>
      </c>
      <c r="F9" s="275">
        <v>72.876000000000005</v>
      </c>
      <c r="G9" s="275">
        <v>59.26</v>
      </c>
      <c r="H9" s="196">
        <f>SUM(F9:G9)</f>
        <v>132.136</v>
      </c>
      <c r="I9" s="275">
        <v>53.671999999999997</v>
      </c>
      <c r="J9" s="275">
        <v>55.332999999999998</v>
      </c>
      <c r="K9" s="196">
        <f>SUM(I9:J9)</f>
        <v>109.005</v>
      </c>
      <c r="L9" s="275">
        <v>40.387</v>
      </c>
      <c r="M9" s="275">
        <v>53.844999999999999</v>
      </c>
      <c r="N9" s="196">
        <f>SUM(L9:M9)</f>
        <v>94.231999999999999</v>
      </c>
      <c r="O9" s="67"/>
      <c r="P9" s="534"/>
      <c r="Q9" s="534"/>
    </row>
    <row r="10" spans="1:17">
      <c r="A10" s="530" t="s">
        <v>936</v>
      </c>
      <c r="B10" s="535" t="s">
        <v>937</v>
      </c>
      <c r="C10" s="119" t="s">
        <v>938</v>
      </c>
      <c r="D10" s="532" t="s">
        <v>80</v>
      </c>
      <c r="E10" s="533" t="s">
        <v>935</v>
      </c>
      <c r="F10" s="275">
        <v>19.678000000000001</v>
      </c>
      <c r="G10" s="275">
        <v>0.432</v>
      </c>
      <c r="H10" s="196">
        <f t="shared" ref="H10:H15" si="0">SUM(F10:G10)</f>
        <v>20.11</v>
      </c>
      <c r="I10" s="275">
        <v>13.499000000000001</v>
      </c>
      <c r="J10" s="275">
        <v>1.4770000000000001</v>
      </c>
      <c r="K10" s="196">
        <f t="shared" ref="K10:K15" si="1">SUM(I10:J10)</f>
        <v>14.976000000000001</v>
      </c>
      <c r="L10" s="275">
        <v>9.3889999999999993</v>
      </c>
      <c r="M10" s="275">
        <v>2.6150000000000002</v>
      </c>
      <c r="N10" s="196">
        <f t="shared" ref="N10:N15" si="2">SUM(L10:M10)</f>
        <v>12.004</v>
      </c>
      <c r="O10" s="67"/>
      <c r="P10" s="534"/>
      <c r="Q10" s="534"/>
    </row>
    <row r="11" spans="1:17">
      <c r="A11" s="530" t="s">
        <v>939</v>
      </c>
      <c r="B11" s="535" t="s">
        <v>940</v>
      </c>
      <c r="C11" s="119" t="s">
        <v>941</v>
      </c>
      <c r="D11" s="532" t="s">
        <v>80</v>
      </c>
      <c r="E11" s="533" t="s">
        <v>935</v>
      </c>
      <c r="F11" s="275">
        <v>45.179000000000002</v>
      </c>
      <c r="G11" s="275">
        <v>33.146999999999998</v>
      </c>
      <c r="H11" s="196">
        <f t="shared" si="0"/>
        <v>78.325999999999993</v>
      </c>
      <c r="I11" s="275">
        <v>24.119</v>
      </c>
      <c r="J11" s="275">
        <v>28.428000000000001</v>
      </c>
      <c r="K11" s="196">
        <f t="shared" si="1"/>
        <v>52.546999999999997</v>
      </c>
      <c r="L11" s="275">
        <v>98.242999999999995</v>
      </c>
      <c r="M11" s="275">
        <v>36.427999999999997</v>
      </c>
      <c r="N11" s="196">
        <f t="shared" si="2"/>
        <v>134.67099999999999</v>
      </c>
      <c r="O11" s="67"/>
      <c r="P11" s="534"/>
      <c r="Q11" s="534"/>
    </row>
    <row r="12" spans="1:17">
      <c r="A12" s="530" t="s">
        <v>942</v>
      </c>
      <c r="B12" s="535" t="s">
        <v>943</v>
      </c>
      <c r="C12" s="119" t="s">
        <v>944</v>
      </c>
      <c r="D12" s="532" t="s">
        <v>80</v>
      </c>
      <c r="E12" s="533" t="s">
        <v>935</v>
      </c>
      <c r="F12" s="275">
        <v>2.915</v>
      </c>
      <c r="G12" s="275">
        <v>1.2769999999999999</v>
      </c>
      <c r="H12" s="196">
        <f t="shared" si="0"/>
        <v>4.1920000000000002</v>
      </c>
      <c r="I12" s="275">
        <v>1.8959999999999999</v>
      </c>
      <c r="J12" s="275">
        <v>1.7589999999999999</v>
      </c>
      <c r="K12" s="196">
        <f t="shared" si="1"/>
        <v>3.6549999999999998</v>
      </c>
      <c r="L12" s="275">
        <v>10.356</v>
      </c>
      <c r="M12" s="275">
        <v>2.1840000000000002</v>
      </c>
      <c r="N12" s="196">
        <f t="shared" si="2"/>
        <v>12.54</v>
      </c>
      <c r="O12" s="67"/>
      <c r="P12" s="534"/>
      <c r="Q12" s="534"/>
    </row>
    <row r="13" spans="1:17">
      <c r="A13" s="530" t="s">
        <v>945</v>
      </c>
      <c r="B13" s="535" t="s">
        <v>946</v>
      </c>
      <c r="C13" s="119" t="s">
        <v>947</v>
      </c>
      <c r="D13" s="532" t="s">
        <v>80</v>
      </c>
      <c r="E13" s="533" t="s">
        <v>935</v>
      </c>
      <c r="F13" s="275">
        <v>45.997</v>
      </c>
      <c r="G13" s="275">
        <v>34.350999999999999</v>
      </c>
      <c r="H13" s="196">
        <f t="shared" si="0"/>
        <v>80.347999999999999</v>
      </c>
      <c r="I13" s="275">
        <v>7.8360000000000003</v>
      </c>
      <c r="J13" s="275">
        <v>18.143999999999998</v>
      </c>
      <c r="K13" s="196">
        <f t="shared" si="1"/>
        <v>25.979999999999997</v>
      </c>
      <c r="L13" s="275">
        <v>46.911999999999999</v>
      </c>
      <c r="M13" s="275">
        <v>31.824999999999999</v>
      </c>
      <c r="N13" s="196">
        <f t="shared" si="2"/>
        <v>78.736999999999995</v>
      </c>
      <c r="O13" s="67"/>
      <c r="P13" s="534"/>
      <c r="Q13" s="534"/>
    </row>
    <row r="14" spans="1:17">
      <c r="A14" s="530" t="s">
        <v>948</v>
      </c>
      <c r="B14" s="535" t="s">
        <v>949</v>
      </c>
      <c r="C14" s="119" t="s">
        <v>950</v>
      </c>
      <c r="D14" s="532" t="s">
        <v>80</v>
      </c>
      <c r="E14" s="533" t="s">
        <v>935</v>
      </c>
      <c r="F14" s="275">
        <v>0.753</v>
      </c>
      <c r="G14" s="275">
        <v>0.19600000000000001</v>
      </c>
      <c r="H14" s="196">
        <f t="shared" si="0"/>
        <v>0.94900000000000007</v>
      </c>
      <c r="I14" s="275">
        <v>0.27100000000000002</v>
      </c>
      <c r="J14" s="275">
        <v>2.153</v>
      </c>
      <c r="K14" s="196">
        <f t="shared" si="1"/>
        <v>2.4239999999999999</v>
      </c>
      <c r="L14" s="275">
        <v>2.2029999999999998</v>
      </c>
      <c r="M14" s="275">
        <v>0.67200000000000004</v>
      </c>
      <c r="N14" s="196">
        <f t="shared" si="2"/>
        <v>2.875</v>
      </c>
      <c r="O14" s="67"/>
      <c r="P14" s="534"/>
      <c r="Q14" s="534"/>
    </row>
    <row r="15" spans="1:17">
      <c r="A15" s="530" t="s">
        <v>951</v>
      </c>
      <c r="B15" s="535" t="s">
        <v>952</v>
      </c>
      <c r="C15" s="119" t="s">
        <v>953</v>
      </c>
      <c r="D15" s="532" t="s">
        <v>80</v>
      </c>
      <c r="E15" s="533" t="s">
        <v>935</v>
      </c>
      <c r="F15" s="275">
        <v>0</v>
      </c>
      <c r="G15" s="275">
        <v>0</v>
      </c>
      <c r="H15" s="196">
        <f t="shared" si="0"/>
        <v>0</v>
      </c>
      <c r="I15" s="275">
        <v>0</v>
      </c>
      <c r="J15" s="275">
        <v>0</v>
      </c>
      <c r="K15" s="196">
        <f t="shared" si="1"/>
        <v>0</v>
      </c>
      <c r="L15" s="275">
        <v>0</v>
      </c>
      <c r="M15" s="275">
        <v>0</v>
      </c>
      <c r="N15" s="196">
        <f t="shared" si="2"/>
        <v>0</v>
      </c>
      <c r="O15" s="67"/>
      <c r="P15" s="534"/>
      <c r="Q15" s="534"/>
    </row>
    <row r="16" spans="1:17">
      <c r="A16" s="530" t="s">
        <v>954</v>
      </c>
      <c r="B16" s="535" t="s">
        <v>76</v>
      </c>
      <c r="C16" s="119" t="s">
        <v>955</v>
      </c>
      <c r="D16" s="532" t="s">
        <v>80</v>
      </c>
      <c r="E16" s="533" t="s">
        <v>100</v>
      </c>
      <c r="F16" s="196">
        <f t="shared" ref="F16:K16" si="3">SUM(F9:F15)</f>
        <v>187.39799999999997</v>
      </c>
      <c r="G16" s="196">
        <f t="shared" si="3"/>
        <v>128.66299999999998</v>
      </c>
      <c r="H16" s="196">
        <f t="shared" si="3"/>
        <v>316.06099999999998</v>
      </c>
      <c r="I16" s="196">
        <f t="shared" si="3"/>
        <v>101.29299999999999</v>
      </c>
      <c r="J16" s="196">
        <f t="shared" si="3"/>
        <v>107.294</v>
      </c>
      <c r="K16" s="196">
        <f t="shared" si="3"/>
        <v>208.58699999999999</v>
      </c>
      <c r="L16" s="196">
        <f>SUM(L9:L15)</f>
        <v>207.49</v>
      </c>
      <c r="M16" s="196">
        <f>SUM(M9:M15)</f>
        <v>127.569</v>
      </c>
      <c r="N16" s="196">
        <f>SUM(N9:N15)</f>
        <v>335.05899999999997</v>
      </c>
      <c r="O16" s="67"/>
      <c r="P16" s="67"/>
      <c r="Q16" s="67"/>
    </row>
    <row r="17" spans="1:14">
      <c r="A17" s="525"/>
      <c r="B17" s="527"/>
      <c r="C17" s="68"/>
      <c r="D17" s="527"/>
      <c r="E17" s="527"/>
      <c r="F17" s="515"/>
      <c r="G17" s="515"/>
      <c r="H17" s="515"/>
      <c r="I17" s="515"/>
      <c r="J17" s="515"/>
      <c r="K17" s="515"/>
      <c r="L17" s="515"/>
      <c r="M17" s="515"/>
      <c r="N17" s="515"/>
    </row>
    <row r="18" spans="1:14" ht="13">
      <c r="A18" s="528"/>
      <c r="B18" s="52" t="s">
        <v>956</v>
      </c>
      <c r="C18" s="536"/>
      <c r="D18" s="529"/>
      <c r="E18" s="527"/>
      <c r="F18" s="515"/>
      <c r="G18" s="515"/>
      <c r="H18" s="515"/>
      <c r="I18" s="515"/>
      <c r="J18" s="515"/>
      <c r="K18" s="515"/>
      <c r="L18" s="515"/>
      <c r="M18" s="515"/>
      <c r="N18" s="515"/>
    </row>
    <row r="19" spans="1:14">
      <c r="A19" s="537" t="s">
        <v>957</v>
      </c>
      <c r="B19" s="535" t="s">
        <v>933</v>
      </c>
      <c r="C19" s="119" t="s">
        <v>958</v>
      </c>
      <c r="D19" s="532" t="s">
        <v>80</v>
      </c>
      <c r="E19" s="533" t="s">
        <v>935</v>
      </c>
      <c r="F19" s="275"/>
      <c r="G19" s="275"/>
      <c r="H19" s="196">
        <f>SUM(F19:G19)</f>
        <v>0</v>
      </c>
      <c r="I19" s="275"/>
      <c r="J19" s="275"/>
      <c r="K19" s="196">
        <f>SUM(I19:J19)</f>
        <v>0</v>
      </c>
      <c r="L19" s="275"/>
      <c r="M19" s="275"/>
      <c r="N19" s="196">
        <f>SUM(L19:M19)</f>
        <v>0</v>
      </c>
    </row>
    <row r="20" spans="1:14">
      <c r="A20" s="537" t="s">
        <v>959</v>
      </c>
      <c r="B20" s="535" t="s">
        <v>937</v>
      </c>
      <c r="C20" s="119" t="s">
        <v>960</v>
      </c>
      <c r="D20" s="532" t="s">
        <v>80</v>
      </c>
      <c r="E20" s="533" t="s">
        <v>935</v>
      </c>
      <c r="F20" s="275"/>
      <c r="G20" s="275"/>
      <c r="H20" s="196">
        <f>SUM(F20:G20)</f>
        <v>0</v>
      </c>
      <c r="I20" s="275"/>
      <c r="J20" s="275"/>
      <c r="K20" s="196">
        <f>SUM(I20:J20)</f>
        <v>0</v>
      </c>
      <c r="L20" s="275"/>
      <c r="M20" s="275"/>
      <c r="N20" s="196">
        <f>SUM(L20:M20)</f>
        <v>0</v>
      </c>
    </row>
    <row r="21" spans="1:14">
      <c r="A21" s="537" t="s">
        <v>961</v>
      </c>
      <c r="B21" s="535" t="s">
        <v>940</v>
      </c>
      <c r="C21" s="119" t="s">
        <v>962</v>
      </c>
      <c r="D21" s="532" t="s">
        <v>80</v>
      </c>
      <c r="E21" s="533" t="s">
        <v>935</v>
      </c>
      <c r="F21" s="275"/>
      <c r="G21" s="275"/>
      <c r="H21" s="196">
        <f>SUM(F21:G21)</f>
        <v>0</v>
      </c>
      <c r="I21" s="275"/>
      <c r="J21" s="275"/>
      <c r="K21" s="196">
        <f>SUM(I21:J21)</f>
        <v>0</v>
      </c>
      <c r="L21" s="275"/>
      <c r="M21" s="275"/>
      <c r="N21" s="196">
        <f>SUM(L21:M21)</f>
        <v>0</v>
      </c>
    </row>
    <row r="22" spans="1:14">
      <c r="A22" s="537" t="s">
        <v>963</v>
      </c>
      <c r="B22" s="535" t="s">
        <v>943</v>
      </c>
      <c r="C22" s="119" t="s">
        <v>964</v>
      </c>
      <c r="D22" s="532" t="s">
        <v>80</v>
      </c>
      <c r="E22" s="533" t="s">
        <v>935</v>
      </c>
      <c r="F22" s="275"/>
      <c r="G22" s="275"/>
      <c r="H22" s="196">
        <f>SUM(F22:G22)</f>
        <v>0</v>
      </c>
      <c r="I22" s="275"/>
      <c r="J22" s="275"/>
      <c r="K22" s="196">
        <f>SUM(I22:J22)</f>
        <v>0</v>
      </c>
      <c r="L22" s="275"/>
      <c r="M22" s="275"/>
      <c r="N22" s="196">
        <f>SUM(L22:M22)</f>
        <v>0</v>
      </c>
    </row>
    <row r="23" spans="1:14">
      <c r="A23" s="537" t="s">
        <v>965</v>
      </c>
      <c r="B23" s="535" t="s">
        <v>946</v>
      </c>
      <c r="C23" s="119" t="s">
        <v>966</v>
      </c>
      <c r="D23" s="532" t="s">
        <v>80</v>
      </c>
      <c r="E23" s="533" t="s">
        <v>935</v>
      </c>
      <c r="F23" s="275"/>
      <c r="G23" s="275"/>
      <c r="H23" s="196">
        <f>SUM(F23:G23)</f>
        <v>0</v>
      </c>
      <c r="I23" s="275"/>
      <c r="J23" s="275"/>
      <c r="K23" s="196">
        <f>SUM(I23:J23)</f>
        <v>0</v>
      </c>
      <c r="L23" s="275"/>
      <c r="M23" s="275"/>
      <c r="N23" s="196">
        <f>SUM(L23:M23)</f>
        <v>0</v>
      </c>
    </row>
    <row r="24" spans="1:14">
      <c r="A24" s="537" t="s">
        <v>967</v>
      </c>
      <c r="B24" s="535" t="s">
        <v>76</v>
      </c>
      <c r="C24" s="119" t="s">
        <v>968</v>
      </c>
      <c r="D24" s="532" t="s">
        <v>80</v>
      </c>
      <c r="E24" s="533" t="s">
        <v>100</v>
      </c>
      <c r="F24" s="196">
        <f t="shared" ref="F24:K24" si="4">SUM(F19:F23)</f>
        <v>0</v>
      </c>
      <c r="G24" s="196">
        <f t="shared" si="4"/>
        <v>0</v>
      </c>
      <c r="H24" s="196">
        <f t="shared" si="4"/>
        <v>0</v>
      </c>
      <c r="I24" s="196">
        <f t="shared" si="4"/>
        <v>0</v>
      </c>
      <c r="J24" s="196">
        <f t="shared" si="4"/>
        <v>0</v>
      </c>
      <c r="K24" s="196">
        <f t="shared" si="4"/>
        <v>0</v>
      </c>
      <c r="L24" s="196">
        <f>SUM(L19:L23)</f>
        <v>0</v>
      </c>
      <c r="M24" s="196">
        <f>SUM(M19:M23)</f>
        <v>0</v>
      </c>
      <c r="N24" s="196">
        <f>SUM(N19:N23)</f>
        <v>0</v>
      </c>
    </row>
    <row r="25" spans="1:14">
      <c r="A25" s="525"/>
      <c r="B25" s="527"/>
      <c r="C25" s="68"/>
      <c r="D25" s="527"/>
      <c r="E25" s="527"/>
      <c r="F25" s="68"/>
      <c r="G25" s="68"/>
      <c r="H25" s="68"/>
      <c r="I25" s="68"/>
      <c r="J25" s="68"/>
      <c r="K25" s="68"/>
      <c r="L25" s="68"/>
      <c r="M25" s="68"/>
      <c r="N25" s="68"/>
    </row>
    <row r="26" spans="1:14" ht="13">
      <c r="A26" s="538"/>
      <c r="B26" s="53" t="s">
        <v>969</v>
      </c>
      <c r="C26" s="68"/>
      <c r="D26" s="539"/>
      <c r="E26" s="527"/>
      <c r="F26" s="68"/>
      <c r="G26" s="68"/>
      <c r="H26" s="68"/>
      <c r="I26" s="68"/>
      <c r="J26" s="68"/>
      <c r="K26" s="68"/>
      <c r="L26" s="68"/>
      <c r="M26" s="68"/>
      <c r="N26" s="68"/>
    </row>
    <row r="27" spans="1:14">
      <c r="A27" s="530" t="s">
        <v>970</v>
      </c>
      <c r="B27" s="531" t="s">
        <v>933</v>
      </c>
      <c r="C27" s="119" t="s">
        <v>971</v>
      </c>
      <c r="D27" s="540" t="s">
        <v>972</v>
      </c>
      <c r="E27" s="533" t="s">
        <v>237</v>
      </c>
      <c r="F27" s="276">
        <v>2.5</v>
      </c>
      <c r="G27" s="276">
        <v>2.7</v>
      </c>
      <c r="H27" s="276">
        <v>2.6</v>
      </c>
      <c r="I27" s="276">
        <v>2.93</v>
      </c>
      <c r="J27" s="276">
        <v>3.05</v>
      </c>
      <c r="K27" s="276">
        <v>2.99</v>
      </c>
      <c r="L27" s="276">
        <v>3.03</v>
      </c>
      <c r="M27" s="276">
        <v>3.8</v>
      </c>
      <c r="N27" s="276">
        <v>3.41</v>
      </c>
    </row>
    <row r="28" spans="1:14">
      <c r="A28" s="530" t="s">
        <v>973</v>
      </c>
      <c r="B28" s="535" t="s">
        <v>937</v>
      </c>
      <c r="C28" s="119" t="s">
        <v>974</v>
      </c>
      <c r="D28" s="532" t="s">
        <v>972</v>
      </c>
      <c r="E28" s="533" t="s">
        <v>237</v>
      </c>
      <c r="F28" s="276">
        <v>14</v>
      </c>
      <c r="G28" s="276">
        <v>15</v>
      </c>
      <c r="H28" s="276">
        <v>14.5</v>
      </c>
      <c r="I28" s="276">
        <v>14.78</v>
      </c>
      <c r="J28" s="276">
        <v>15</v>
      </c>
      <c r="K28" s="276">
        <v>14.89</v>
      </c>
      <c r="L28" s="276">
        <v>14.990916160702595</v>
      </c>
      <c r="M28" s="276">
        <v>14.998377629995655</v>
      </c>
      <c r="N28" s="276">
        <v>14.994646895349124</v>
      </c>
    </row>
    <row r="29" spans="1:14">
      <c r="A29" s="530" t="s">
        <v>975</v>
      </c>
      <c r="B29" s="535" t="s">
        <v>940</v>
      </c>
      <c r="C29" s="119" t="s">
        <v>976</v>
      </c>
      <c r="D29" s="532" t="s">
        <v>972</v>
      </c>
      <c r="E29" s="533" t="s">
        <v>237</v>
      </c>
      <c r="F29" s="276">
        <v>20.3</v>
      </c>
      <c r="G29" s="276">
        <v>20.3</v>
      </c>
      <c r="H29" s="276">
        <v>20.3</v>
      </c>
      <c r="I29" s="276">
        <v>20.3</v>
      </c>
      <c r="J29" s="276">
        <v>20.53</v>
      </c>
      <c r="K29" s="276">
        <v>20.420000000000002</v>
      </c>
      <c r="L29" s="276">
        <v>20.452768395289318</v>
      </c>
      <c r="M29" s="276">
        <v>20.499867215361981</v>
      </c>
      <c r="N29" s="276">
        <v>20.47631780532565</v>
      </c>
    </row>
    <row r="30" spans="1:14">
      <c r="A30" s="530" t="s">
        <v>977</v>
      </c>
      <c r="B30" s="535" t="s">
        <v>943</v>
      </c>
      <c r="C30" s="119" t="s">
        <v>978</v>
      </c>
      <c r="D30" s="532" t="s">
        <v>972</v>
      </c>
      <c r="E30" s="533" t="s">
        <v>237</v>
      </c>
      <c r="F30" s="276">
        <v>40</v>
      </c>
      <c r="G30" s="276">
        <v>40</v>
      </c>
      <c r="H30" s="276">
        <v>40</v>
      </c>
      <c r="I30" s="276">
        <v>40</v>
      </c>
      <c r="J30" s="276">
        <v>40</v>
      </c>
      <c r="K30" s="276">
        <v>40</v>
      </c>
      <c r="L30" s="276">
        <v>40</v>
      </c>
      <c r="M30" s="276">
        <v>40</v>
      </c>
      <c r="N30" s="276">
        <v>40</v>
      </c>
    </row>
    <row r="31" spans="1:14">
      <c r="A31" s="530" t="s">
        <v>979</v>
      </c>
      <c r="B31" s="535" t="s">
        <v>946</v>
      </c>
      <c r="C31" s="119" t="s">
        <v>980</v>
      </c>
      <c r="D31" s="532" t="s">
        <v>972</v>
      </c>
      <c r="E31" s="533" t="s">
        <v>237</v>
      </c>
      <c r="F31" s="276">
        <v>60</v>
      </c>
      <c r="G31" s="276">
        <v>60</v>
      </c>
      <c r="H31" s="276">
        <v>60</v>
      </c>
      <c r="I31" s="276">
        <v>60</v>
      </c>
      <c r="J31" s="276">
        <v>60</v>
      </c>
      <c r="K31" s="276">
        <v>60</v>
      </c>
      <c r="L31" s="276">
        <v>60</v>
      </c>
      <c r="M31" s="276">
        <v>60</v>
      </c>
      <c r="N31" s="276">
        <v>60</v>
      </c>
    </row>
    <row r="32" spans="1:14">
      <c r="A32" s="180"/>
      <c r="B32" s="67"/>
      <c r="C32" s="68"/>
      <c r="D32" s="67"/>
      <c r="E32" s="67"/>
      <c r="F32" s="68"/>
      <c r="G32" s="68"/>
      <c r="H32" s="68"/>
      <c r="I32" s="68"/>
      <c r="J32" s="68"/>
      <c r="K32" s="68"/>
      <c r="L32" s="67"/>
      <c r="M32" s="67"/>
      <c r="N32" s="67"/>
    </row>
    <row r="33" spans="1:14" ht="13">
      <c r="A33" s="498"/>
      <c r="B33" s="495" t="s">
        <v>981</v>
      </c>
      <c r="C33" s="536"/>
      <c r="D33" s="527"/>
      <c r="E33" s="527"/>
      <c r="F33" s="494" t="str">
        <f>reportminus2</f>
        <v>2017-18</v>
      </c>
      <c r="G33" s="494" t="str">
        <f>reportminus1</f>
        <v>2018-19</v>
      </c>
      <c r="H33" s="494" t="str">
        <f>reportyear</f>
        <v>2019-20</v>
      </c>
      <c r="I33" s="67"/>
      <c r="J33" s="67"/>
      <c r="K33" s="67"/>
      <c r="L33" s="67"/>
      <c r="M33" s="527"/>
      <c r="N33" s="67"/>
    </row>
    <row r="34" spans="1:14" ht="13">
      <c r="A34" s="497"/>
      <c r="B34" s="496"/>
      <c r="C34" s="536"/>
      <c r="D34" s="527"/>
      <c r="E34" s="527"/>
      <c r="F34" s="493"/>
      <c r="G34" s="493"/>
      <c r="H34" s="493"/>
      <c r="I34" s="67"/>
      <c r="J34" s="67"/>
      <c r="K34" s="67"/>
      <c r="L34" s="67"/>
      <c r="M34" s="527"/>
      <c r="N34" s="67"/>
    </row>
    <row r="35" spans="1:14">
      <c r="A35" s="530" t="s">
        <v>982</v>
      </c>
      <c r="B35" s="531" t="s">
        <v>749</v>
      </c>
      <c r="C35" s="119" t="s">
        <v>983</v>
      </c>
      <c r="D35" s="541" t="s">
        <v>80</v>
      </c>
      <c r="E35" s="533" t="s">
        <v>237</v>
      </c>
      <c r="F35" s="277">
        <v>86.201999999999998</v>
      </c>
      <c r="G35" s="277">
        <v>118.764</v>
      </c>
      <c r="H35" s="277">
        <v>103.996</v>
      </c>
      <c r="I35" s="67"/>
      <c r="J35" s="67"/>
      <c r="K35" s="67"/>
      <c r="L35" s="67"/>
      <c r="M35" s="67"/>
      <c r="N35" s="67"/>
    </row>
    <row r="36" spans="1:14">
      <c r="A36" s="530" t="s">
        <v>984</v>
      </c>
      <c r="B36" s="535" t="s">
        <v>985</v>
      </c>
      <c r="C36" s="119" t="s">
        <v>986</v>
      </c>
      <c r="D36" s="541" t="s">
        <v>80</v>
      </c>
      <c r="E36" s="533" t="s">
        <v>237</v>
      </c>
      <c r="F36" s="275">
        <v>-124.1</v>
      </c>
      <c r="G36" s="275">
        <v>-128.19999999999999</v>
      </c>
      <c r="H36" s="275">
        <v>-131.4</v>
      </c>
      <c r="I36" s="67"/>
      <c r="J36" s="67"/>
      <c r="K36" s="67"/>
      <c r="L36" s="67"/>
      <c r="M36" s="67"/>
      <c r="N36" s="67"/>
    </row>
    <row r="37" spans="1:14">
      <c r="A37" s="530" t="s">
        <v>987</v>
      </c>
      <c r="B37" s="535" t="s">
        <v>988</v>
      </c>
      <c r="C37" s="119" t="s">
        <v>989</v>
      </c>
      <c r="D37" s="541" t="s">
        <v>80</v>
      </c>
      <c r="E37" s="533" t="s">
        <v>100</v>
      </c>
      <c r="F37" s="196">
        <f>SUM(F35:F36)</f>
        <v>-37.897999999999996</v>
      </c>
      <c r="G37" s="196">
        <f>SUM(G35:G36)</f>
        <v>-9.4359999999999928</v>
      </c>
      <c r="H37" s="196">
        <f>SUM(H35:H36)</f>
        <v>-27.404000000000011</v>
      </c>
      <c r="I37" s="67"/>
      <c r="J37" s="67"/>
      <c r="K37" s="67"/>
      <c r="L37" s="67"/>
      <c r="M37" s="67"/>
      <c r="N37" s="67"/>
    </row>
    <row r="38" spans="1:14">
      <c r="A38" s="180"/>
      <c r="B38" s="67"/>
      <c r="C38" s="67"/>
      <c r="D38" s="67"/>
      <c r="E38" s="67"/>
      <c r="F38" s="527"/>
      <c r="G38" s="527"/>
      <c r="H38" s="527"/>
      <c r="I38" s="527"/>
      <c r="J38" s="67"/>
      <c r="K38" s="67"/>
      <c r="L38" s="67"/>
      <c r="M38" s="67"/>
      <c r="N38" s="67"/>
    </row>
  </sheetData>
  <mergeCells count="3">
    <mergeCell ref="F5:H5"/>
    <mergeCell ref="I5:K5"/>
    <mergeCell ref="L5:N5"/>
  </mergeCells>
  <phoneticPr fontId="0" type="noConversion"/>
  <pageMargins left="0.61" right="0.6" top="0.98425196850393704" bottom="0.98425196850393704" header="0.51181102362204722" footer="0.51181102362204722"/>
  <pageSetup paperSize="9" scale="59" orientation="landscape" r:id="rId1"/>
  <headerFooter alignWithMargins="0">
    <oddFooter>&amp;RRegulatory Accounts - M tables 2010-11 v1.2&amp;L&amp;1#&amp;"Arial"&amp;11&amp;K000000SW Internal Commercial</oddFooter>
  </headerFooter>
  <ignoredErrors>
    <ignoredError sqref="A35:A37 A9:A33" numberStoredAsText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00FF"/>
    <pageSetUpPr fitToPage="1"/>
  </sheetPr>
  <dimension ref="A1:L49"/>
  <sheetViews>
    <sheetView topLeftCell="B1" zoomScaleNormal="100" zoomScaleSheetLayoutView="100" workbookViewId="0">
      <selection activeCell="J53" sqref="J53"/>
    </sheetView>
  </sheetViews>
  <sheetFormatPr defaultColWidth="8.81640625" defaultRowHeight="12.5"/>
  <cols>
    <col min="1" max="1" width="5.81640625" style="180" bestFit="1" customWidth="1"/>
    <col min="2" max="2" width="63.81640625" style="67" bestFit="1" customWidth="1"/>
    <col min="3" max="3" width="8.7265625" style="67" customWidth="1"/>
    <col min="4" max="4" width="7.81640625" style="67" customWidth="1"/>
    <col min="5" max="5" width="8.1796875" style="67" customWidth="1"/>
    <col min="6" max="6" width="10.453125" style="67" customWidth="1"/>
    <col min="7" max="7" width="10.81640625" style="67" customWidth="1"/>
    <col min="8" max="8" width="16" style="67" customWidth="1"/>
    <col min="9" max="9" width="17.7265625" style="67" bestFit="1" customWidth="1"/>
    <col min="10" max="10" width="12.7265625" style="67" bestFit="1" customWidth="1"/>
    <col min="11" max="12" width="13.453125" style="67" bestFit="1" customWidth="1"/>
    <col min="13" max="13" width="10.453125" style="67" customWidth="1"/>
    <col min="14" max="16384" width="8.81640625" style="67"/>
  </cols>
  <sheetData>
    <row r="1" spans="1:12" ht="14">
      <c r="A1" s="178"/>
    </row>
    <row r="2" spans="1:12" ht="15.5">
      <c r="A2" s="179" t="s">
        <v>64</v>
      </c>
    </row>
    <row r="3" spans="1:12" ht="15.5">
      <c r="A3" s="179" t="s">
        <v>990</v>
      </c>
    </row>
    <row r="4" spans="1:12" ht="15.5">
      <c r="A4" s="179" t="s">
        <v>279</v>
      </c>
    </row>
    <row r="5" spans="1:12" ht="15.5">
      <c r="A5" s="179"/>
    </row>
    <row r="6" spans="1:12" ht="15.5">
      <c r="B6" s="181"/>
      <c r="C6" s="181"/>
      <c r="D6" s="181"/>
      <c r="E6" s="181"/>
      <c r="F6" s="871" t="s">
        <v>562</v>
      </c>
      <c r="G6" s="872"/>
      <c r="H6" s="872"/>
      <c r="I6" s="872"/>
      <c r="J6" s="872"/>
      <c r="K6" s="872"/>
      <c r="L6" s="873"/>
    </row>
    <row r="7" spans="1:12" ht="13">
      <c r="A7" s="460" t="s">
        <v>66</v>
      </c>
      <c r="B7" s="461" t="s">
        <v>67</v>
      </c>
      <c r="C7" s="288" t="s">
        <v>68</v>
      </c>
      <c r="D7" s="288" t="s">
        <v>69</v>
      </c>
      <c r="E7" s="288" t="s">
        <v>70</v>
      </c>
      <c r="F7" s="36" t="s">
        <v>74</v>
      </c>
      <c r="G7" s="36" t="s">
        <v>991</v>
      </c>
      <c r="H7" s="164" t="s">
        <v>992</v>
      </c>
      <c r="I7" s="157" t="s">
        <v>993</v>
      </c>
      <c r="J7" s="157" t="s">
        <v>77</v>
      </c>
      <c r="K7" s="164" t="s">
        <v>992</v>
      </c>
      <c r="L7" s="39" t="s">
        <v>994</v>
      </c>
    </row>
    <row r="8" spans="1:12" ht="13">
      <c r="A8" s="41"/>
      <c r="B8" s="464"/>
      <c r="C8" s="42" t="s">
        <v>72</v>
      </c>
      <c r="D8" s="42"/>
      <c r="E8" s="42" t="s">
        <v>73</v>
      </c>
      <c r="F8" s="165"/>
      <c r="G8" s="165"/>
      <c r="H8" s="166" t="s">
        <v>995</v>
      </c>
      <c r="I8" s="166" t="s">
        <v>996</v>
      </c>
      <c r="J8" s="166" t="s">
        <v>997</v>
      </c>
      <c r="K8" s="166" t="s">
        <v>995</v>
      </c>
      <c r="L8" s="42"/>
    </row>
    <row r="9" spans="1:12">
      <c r="A9" s="67"/>
    </row>
    <row r="10" spans="1:12">
      <c r="A10" s="23" t="s">
        <v>998</v>
      </c>
      <c r="B10" s="51" t="s">
        <v>78</v>
      </c>
      <c r="C10" s="174" t="s">
        <v>281</v>
      </c>
      <c r="D10" s="174" t="s">
        <v>80</v>
      </c>
      <c r="E10" s="174" t="s">
        <v>100</v>
      </c>
      <c r="F10" s="183">
        <f>+'M4'!H10</f>
        <v>1254.3879999999999</v>
      </c>
      <c r="G10" s="177">
        <v>477.81700000000001</v>
      </c>
      <c r="H10" s="177">
        <f>-133.777</f>
        <v>-133.77699999999999</v>
      </c>
      <c r="I10" s="183">
        <f>SUM(F10:H10)</f>
        <v>1598.4279999999999</v>
      </c>
      <c r="J10" s="177">
        <v>49.13</v>
      </c>
      <c r="K10" s="177">
        <v>-31.613</v>
      </c>
      <c r="L10" s="183">
        <f>SUM(I10:K10)</f>
        <v>1615.9449999999999</v>
      </c>
    </row>
    <row r="11" spans="1:12">
      <c r="A11" s="23" t="s">
        <v>999</v>
      </c>
      <c r="B11" s="51" t="s">
        <v>283</v>
      </c>
      <c r="C11" s="846" t="s">
        <v>284</v>
      </c>
      <c r="D11" s="174" t="s">
        <v>80</v>
      </c>
      <c r="E11" s="174" t="s">
        <v>237</v>
      </c>
      <c r="F11" s="183">
        <f>+'M4'!H11</f>
        <v>-383.97500000000002</v>
      </c>
      <c r="G11" s="141">
        <f>-486.664+1.473</f>
        <v>-485.19099999999997</v>
      </c>
      <c r="H11" s="177">
        <v>133.77699999999999</v>
      </c>
      <c r="I11" s="183">
        <f t="shared" ref="I11:I26" si="0">SUM(F11:H11)</f>
        <v>-735.3889999999999</v>
      </c>
      <c r="J11" s="177">
        <v>-38.777000000000001</v>
      </c>
      <c r="K11" s="177">
        <f>31.613-5.8</f>
        <v>25.812999999999999</v>
      </c>
      <c r="L11" s="183">
        <f t="shared" ref="L11:L21" si="1">SUM(I11:K11)</f>
        <v>-748.35299999999995</v>
      </c>
    </row>
    <row r="12" spans="1:12">
      <c r="A12" s="23" t="s">
        <v>1000</v>
      </c>
      <c r="B12" s="51" t="s">
        <v>286</v>
      </c>
      <c r="C12" s="847"/>
      <c r="D12" s="174" t="s">
        <v>80</v>
      </c>
      <c r="E12" s="174" t="s">
        <v>237</v>
      </c>
      <c r="F12" s="183">
        <f>+'M4'!H12</f>
        <v>-125.42400000000001</v>
      </c>
      <c r="G12" s="177"/>
      <c r="H12" s="177"/>
      <c r="I12" s="183">
        <f t="shared" si="0"/>
        <v>-125.42400000000001</v>
      </c>
      <c r="J12" s="177"/>
      <c r="K12" s="177"/>
      <c r="L12" s="183">
        <f t="shared" si="1"/>
        <v>-125.42400000000001</v>
      </c>
    </row>
    <row r="13" spans="1:12">
      <c r="A13" s="23" t="s">
        <v>1001</v>
      </c>
      <c r="B13" s="51" t="s">
        <v>288</v>
      </c>
      <c r="C13" s="847"/>
      <c r="D13" s="174" t="s">
        <v>80</v>
      </c>
      <c r="E13" s="174" t="s">
        <v>237</v>
      </c>
      <c r="F13" s="183">
        <f>+'M4'!H13</f>
        <v>-0.60499999999999998</v>
      </c>
      <c r="G13" s="177"/>
      <c r="H13" s="177"/>
      <c r="I13" s="183">
        <f t="shared" si="0"/>
        <v>-0.60499999999999998</v>
      </c>
      <c r="J13" s="177"/>
      <c r="K13" s="177"/>
      <c r="L13" s="183">
        <f t="shared" si="1"/>
        <v>-0.60499999999999998</v>
      </c>
    </row>
    <row r="14" spans="1:12">
      <c r="A14" s="23" t="s">
        <v>1002</v>
      </c>
      <c r="B14" s="51" t="s">
        <v>290</v>
      </c>
      <c r="C14" s="847"/>
      <c r="D14" s="174" t="s">
        <v>80</v>
      </c>
      <c r="E14" s="174" t="s">
        <v>237</v>
      </c>
      <c r="F14" s="183">
        <f>+'M4'!H14</f>
        <v>-35.865000000000002</v>
      </c>
      <c r="G14" s="177">
        <v>-1.4730000000000001</v>
      </c>
      <c r="H14" s="177"/>
      <c r="I14" s="183">
        <f t="shared" si="0"/>
        <v>-37.338000000000001</v>
      </c>
      <c r="J14" s="177"/>
      <c r="K14" s="177"/>
      <c r="L14" s="183">
        <f t="shared" si="1"/>
        <v>-37.338000000000001</v>
      </c>
    </row>
    <row r="15" spans="1:12">
      <c r="A15" s="23" t="s">
        <v>1003</v>
      </c>
      <c r="B15" s="51" t="s">
        <v>292</v>
      </c>
      <c r="C15" s="847"/>
      <c r="D15" s="174" t="s">
        <v>80</v>
      </c>
      <c r="E15" s="174" t="s">
        <v>237</v>
      </c>
      <c r="F15" s="183">
        <f>+'M4'!H15</f>
        <v>0</v>
      </c>
      <c r="G15" s="177"/>
      <c r="H15" s="177"/>
      <c r="I15" s="183">
        <f t="shared" si="0"/>
        <v>0</v>
      </c>
      <c r="J15" s="177"/>
      <c r="K15" s="177"/>
      <c r="L15" s="183">
        <f t="shared" si="1"/>
        <v>0</v>
      </c>
    </row>
    <row r="16" spans="1:12">
      <c r="A16" s="23" t="s">
        <v>1004</v>
      </c>
      <c r="B16" s="51" t="s">
        <v>294</v>
      </c>
      <c r="C16" s="847"/>
      <c r="D16" s="174" t="s">
        <v>80</v>
      </c>
      <c r="E16" s="174" t="s">
        <v>237</v>
      </c>
      <c r="F16" s="183">
        <f>+'M4'!H16</f>
        <v>-253.43799999999999</v>
      </c>
      <c r="G16" s="141">
        <v>-3.7149999999999999</v>
      </c>
      <c r="H16" s="177"/>
      <c r="I16" s="183">
        <f t="shared" si="0"/>
        <v>-257.15299999999996</v>
      </c>
      <c r="J16" s="141">
        <v>-5.3109999999999999</v>
      </c>
      <c r="K16" s="177"/>
      <c r="L16" s="183">
        <f t="shared" si="1"/>
        <v>-262.46399999999994</v>
      </c>
    </row>
    <row r="17" spans="1:12">
      <c r="A17" s="23" t="s">
        <v>1005</v>
      </c>
      <c r="B17" s="51" t="s">
        <v>296</v>
      </c>
      <c r="C17" s="847"/>
      <c r="D17" s="174" t="s">
        <v>80</v>
      </c>
      <c r="E17" s="174" t="s">
        <v>237</v>
      </c>
      <c r="F17" s="183">
        <f>+'M4'!H17</f>
        <v>-19.399999999999999</v>
      </c>
      <c r="G17" s="177"/>
      <c r="H17" s="177"/>
      <c r="I17" s="183">
        <f t="shared" si="0"/>
        <v>-19.399999999999999</v>
      </c>
      <c r="J17" s="177"/>
      <c r="K17" s="177"/>
      <c r="L17" s="183">
        <f t="shared" si="1"/>
        <v>-19.399999999999999</v>
      </c>
    </row>
    <row r="18" spans="1:12">
      <c r="A18" s="23" t="s">
        <v>1006</v>
      </c>
      <c r="B18" s="51" t="s">
        <v>298</v>
      </c>
      <c r="C18" s="847"/>
      <c r="D18" s="174" t="s">
        <v>80</v>
      </c>
      <c r="E18" s="174" t="s">
        <v>237</v>
      </c>
      <c r="F18" s="183">
        <f>+'M4'!H18</f>
        <v>-19.385999999999999</v>
      </c>
      <c r="G18" s="177"/>
      <c r="H18" s="177"/>
      <c r="I18" s="183">
        <f t="shared" si="0"/>
        <v>-19.385999999999999</v>
      </c>
      <c r="J18" s="177"/>
      <c r="K18" s="177">
        <v>2.2000000000000002</v>
      </c>
      <c r="L18" s="183">
        <f t="shared" si="1"/>
        <v>-17.186</v>
      </c>
    </row>
    <row r="19" spans="1:12" ht="12.75" customHeight="1">
      <c r="A19" s="23" t="s">
        <v>1007</v>
      </c>
      <c r="B19" s="51" t="s">
        <v>300</v>
      </c>
      <c r="C19" s="847"/>
      <c r="D19" s="174" t="s">
        <v>80</v>
      </c>
      <c r="E19" s="174" t="s">
        <v>237</v>
      </c>
      <c r="F19" s="183">
        <f>+'M4'!H19</f>
        <v>-126.3</v>
      </c>
      <c r="G19" s="177"/>
      <c r="H19" s="177"/>
      <c r="I19" s="183">
        <f t="shared" si="0"/>
        <v>-126.3</v>
      </c>
      <c r="J19" s="177"/>
      <c r="K19" s="177"/>
      <c r="L19" s="183">
        <f t="shared" si="1"/>
        <v>-126.3</v>
      </c>
    </row>
    <row r="20" spans="1:12">
      <c r="A20" s="23" t="s">
        <v>1008</v>
      </c>
      <c r="B20" s="51" t="s">
        <v>93</v>
      </c>
      <c r="C20" s="848"/>
      <c r="D20" s="174" t="s">
        <v>80</v>
      </c>
      <c r="E20" s="174" t="s">
        <v>237</v>
      </c>
      <c r="F20" s="183">
        <f>+'M4'!H20</f>
        <v>0.98599999999999999</v>
      </c>
      <c r="G20" s="177"/>
      <c r="H20" s="177"/>
      <c r="I20" s="183">
        <f t="shared" si="0"/>
        <v>0.98599999999999999</v>
      </c>
      <c r="J20" s="177">
        <v>0.28499999999999998</v>
      </c>
      <c r="K20" s="177"/>
      <c r="L20" s="183">
        <f t="shared" si="1"/>
        <v>1.2709999999999999</v>
      </c>
    </row>
    <row r="21" spans="1:12">
      <c r="A21" s="23" t="s">
        <v>1009</v>
      </c>
      <c r="B21" s="51" t="s">
        <v>95</v>
      </c>
      <c r="C21" s="174" t="s">
        <v>303</v>
      </c>
      <c r="D21" s="174" t="s">
        <v>80</v>
      </c>
      <c r="E21" s="174" t="s">
        <v>100</v>
      </c>
      <c r="F21" s="183">
        <f>+'M4'!H21</f>
        <v>0</v>
      </c>
      <c r="G21" s="177"/>
      <c r="H21" s="177"/>
      <c r="I21" s="183">
        <f t="shared" si="0"/>
        <v>0</v>
      </c>
      <c r="J21" s="177"/>
      <c r="K21" s="177"/>
      <c r="L21" s="183">
        <f t="shared" si="1"/>
        <v>0</v>
      </c>
    </row>
    <row r="22" spans="1:12">
      <c r="A22" s="23" t="s">
        <v>1010</v>
      </c>
      <c r="B22" s="51" t="s">
        <v>98</v>
      </c>
      <c r="C22" s="174" t="s">
        <v>305</v>
      </c>
      <c r="D22" s="174" t="s">
        <v>80</v>
      </c>
      <c r="E22" s="174" t="s">
        <v>100</v>
      </c>
      <c r="F22" s="183">
        <f t="shared" ref="F22:L22" si="2">SUM(F10:F21)</f>
        <v>290.98099999999988</v>
      </c>
      <c r="G22" s="183">
        <f t="shared" si="2"/>
        <v>-12.561999999999967</v>
      </c>
      <c r="H22" s="183">
        <f t="shared" si="2"/>
        <v>0</v>
      </c>
      <c r="I22" s="183">
        <f t="shared" si="2"/>
        <v>278.41900000000004</v>
      </c>
      <c r="J22" s="183">
        <f t="shared" si="2"/>
        <v>5.3270000000000017</v>
      </c>
      <c r="K22" s="183">
        <f t="shared" si="2"/>
        <v>-3.6000000000000005</v>
      </c>
      <c r="L22" s="183">
        <f t="shared" si="2"/>
        <v>280.14600000000013</v>
      </c>
    </row>
    <row r="23" spans="1:12">
      <c r="A23" s="23" t="s">
        <v>1011</v>
      </c>
      <c r="B23" s="51" t="s">
        <v>307</v>
      </c>
      <c r="C23" s="174"/>
      <c r="D23" s="174" t="s">
        <v>80</v>
      </c>
      <c r="E23" s="174" t="s">
        <v>237</v>
      </c>
      <c r="F23" s="183">
        <f>+'M4'!H23</f>
        <v>1.2190000000000001</v>
      </c>
      <c r="G23" s="177"/>
      <c r="H23" s="177"/>
      <c r="I23" s="183">
        <f t="shared" si="0"/>
        <v>1.2190000000000001</v>
      </c>
      <c r="J23" s="177">
        <v>-0.32600000000000001</v>
      </c>
      <c r="K23" s="177"/>
      <c r="L23" s="183">
        <f>SUM(I23:K23)</f>
        <v>0.89300000000000002</v>
      </c>
    </row>
    <row r="24" spans="1:12">
      <c r="A24" s="23" t="s">
        <v>1012</v>
      </c>
      <c r="B24" s="51" t="s">
        <v>102</v>
      </c>
      <c r="C24" s="174" t="s">
        <v>309</v>
      </c>
      <c r="D24" s="174" t="s">
        <v>80</v>
      </c>
      <c r="E24" s="174" t="s">
        <v>100</v>
      </c>
      <c r="F24" s="183">
        <f>+'M4'!H24</f>
        <v>0</v>
      </c>
      <c r="G24" s="177"/>
      <c r="H24" s="177"/>
      <c r="I24" s="183">
        <f t="shared" si="0"/>
        <v>0</v>
      </c>
      <c r="J24" s="177">
        <v>0</v>
      </c>
      <c r="K24" s="177"/>
      <c r="L24" s="183">
        <f>SUM(I24:K24)</f>
        <v>0</v>
      </c>
    </row>
    <row r="25" spans="1:12">
      <c r="A25" s="23" t="s">
        <v>1013</v>
      </c>
      <c r="B25" s="51" t="s">
        <v>311</v>
      </c>
      <c r="C25" s="184" t="s">
        <v>312</v>
      </c>
      <c r="D25" s="174" t="s">
        <v>80</v>
      </c>
      <c r="E25" s="174" t="s">
        <v>100</v>
      </c>
      <c r="F25" s="183">
        <f>+'M4'!H25</f>
        <v>-146.30199999999999</v>
      </c>
      <c r="G25" s="177">
        <v>1.2170000000000001</v>
      </c>
      <c r="H25" s="177"/>
      <c r="I25" s="183">
        <f t="shared" si="0"/>
        <v>-145.08499999999998</v>
      </c>
      <c r="J25" s="177">
        <v>-2.7309999999999999</v>
      </c>
      <c r="K25" s="177"/>
      <c r="L25" s="183">
        <f>SUM(I25:K25)</f>
        <v>-147.81599999999997</v>
      </c>
    </row>
    <row r="26" spans="1:12">
      <c r="A26" s="23" t="s">
        <v>1014</v>
      </c>
      <c r="B26" s="51" t="s">
        <v>314</v>
      </c>
      <c r="C26" s="184" t="s">
        <v>315</v>
      </c>
      <c r="D26" s="174" t="s">
        <v>80</v>
      </c>
      <c r="E26" s="174" t="s">
        <v>237</v>
      </c>
      <c r="F26" s="183">
        <f>+'M4'!H26</f>
        <v>-17.899999999999999</v>
      </c>
      <c r="G26" s="177"/>
      <c r="H26" s="177"/>
      <c r="I26" s="183">
        <f t="shared" si="0"/>
        <v>-17.899999999999999</v>
      </c>
      <c r="J26" s="177"/>
      <c r="K26" s="177">
        <v>2.9</v>
      </c>
      <c r="L26" s="183">
        <f>SUM(I26:K26)</f>
        <v>-14.999999999999998</v>
      </c>
    </row>
    <row r="27" spans="1:12">
      <c r="A27" s="281" t="s">
        <v>1015</v>
      </c>
      <c r="B27" s="51"/>
      <c r="C27" s="184"/>
      <c r="D27" s="174"/>
      <c r="E27" s="174"/>
      <c r="F27" s="183"/>
      <c r="G27" s="177"/>
      <c r="H27" s="177"/>
      <c r="I27" s="183"/>
      <c r="J27" s="177"/>
      <c r="K27" s="177"/>
      <c r="L27" s="183"/>
    </row>
    <row r="28" spans="1:12">
      <c r="A28" s="23" t="s">
        <v>1016</v>
      </c>
      <c r="B28" s="51" t="s">
        <v>318</v>
      </c>
      <c r="C28" s="174" t="s">
        <v>319</v>
      </c>
      <c r="D28" s="174" t="s">
        <v>80</v>
      </c>
      <c r="E28" s="174" t="s">
        <v>100</v>
      </c>
      <c r="F28" s="183">
        <f t="shared" ref="F28:L28" si="3">SUM(F22:F27)</f>
        <v>127.99799999999988</v>
      </c>
      <c r="G28" s="183">
        <f t="shared" si="3"/>
        <v>-11.344999999999967</v>
      </c>
      <c r="H28" s="183">
        <f t="shared" si="3"/>
        <v>0</v>
      </c>
      <c r="I28" s="183">
        <f t="shared" si="3"/>
        <v>116.65300000000005</v>
      </c>
      <c r="J28" s="183">
        <f t="shared" si="3"/>
        <v>2.2700000000000022</v>
      </c>
      <c r="K28" s="183">
        <f t="shared" si="3"/>
        <v>-0.70000000000000062</v>
      </c>
      <c r="L28" s="183">
        <f t="shared" si="3"/>
        <v>118.22300000000013</v>
      </c>
    </row>
    <row r="29" spans="1:12">
      <c r="A29" s="23" t="s">
        <v>1017</v>
      </c>
      <c r="B29" s="6" t="s">
        <v>111</v>
      </c>
      <c r="C29" s="174" t="s">
        <v>321</v>
      </c>
      <c r="D29" s="174" t="s">
        <v>80</v>
      </c>
      <c r="E29" s="174" t="s">
        <v>237</v>
      </c>
      <c r="F29" s="183">
        <f>+'M4'!H29</f>
        <v>-12.17</v>
      </c>
      <c r="G29" s="177">
        <v>1.575</v>
      </c>
      <c r="H29" s="177"/>
      <c r="I29" s="183">
        <f t="shared" ref="I29:I34" si="4">SUM(F29:H29)</f>
        <v>-10.595000000000001</v>
      </c>
      <c r="J29" s="177">
        <v>-0.32800000000000001</v>
      </c>
      <c r="K29" s="177"/>
      <c r="L29" s="183">
        <f>SUM(I29:K29)</f>
        <v>-10.923</v>
      </c>
    </row>
    <row r="30" spans="1:12">
      <c r="A30" s="23" t="s">
        <v>1018</v>
      </c>
      <c r="B30" s="6" t="s">
        <v>114</v>
      </c>
      <c r="C30" s="174"/>
      <c r="D30" s="174" t="s">
        <v>80</v>
      </c>
      <c r="E30" s="174" t="s">
        <v>237</v>
      </c>
      <c r="F30" s="183">
        <f>+'M4'!H30</f>
        <v>-61.776000000000003</v>
      </c>
      <c r="G30" s="177">
        <v>0.188</v>
      </c>
      <c r="H30" s="177"/>
      <c r="I30" s="183">
        <f t="shared" si="4"/>
        <v>-61.588000000000001</v>
      </c>
      <c r="J30" s="177">
        <f>-1.283-0.03</f>
        <v>-1.3129999999999999</v>
      </c>
      <c r="K30" s="177">
        <v>0.52300000000000002</v>
      </c>
      <c r="L30" s="183">
        <f>SUM(I30:K30)</f>
        <v>-62.378</v>
      </c>
    </row>
    <row r="31" spans="1:12">
      <c r="A31" s="23" t="s">
        <v>1019</v>
      </c>
      <c r="B31" s="51" t="s">
        <v>324</v>
      </c>
      <c r="C31" s="174" t="s">
        <v>325</v>
      </c>
      <c r="D31" s="174" t="s">
        <v>80</v>
      </c>
      <c r="E31" s="174" t="s">
        <v>100</v>
      </c>
      <c r="F31" s="183">
        <f t="shared" ref="F31:L31" si="5">SUM(F28:F30)</f>
        <v>54.051999999999872</v>
      </c>
      <c r="G31" s="183">
        <f t="shared" si="5"/>
        <v>-9.581999999999967</v>
      </c>
      <c r="H31" s="183">
        <f t="shared" si="5"/>
        <v>0</v>
      </c>
      <c r="I31" s="183">
        <f t="shared" si="5"/>
        <v>44.470000000000049</v>
      </c>
      <c r="J31" s="183">
        <f t="shared" si="5"/>
        <v>0.62900000000000222</v>
      </c>
      <c r="K31" s="183">
        <f t="shared" si="5"/>
        <v>-0.1770000000000006</v>
      </c>
      <c r="L31" s="183">
        <f t="shared" si="5"/>
        <v>44.922000000000125</v>
      </c>
    </row>
    <row r="32" spans="1:12">
      <c r="A32" s="23" t="s">
        <v>1020</v>
      </c>
      <c r="B32" s="51" t="s">
        <v>327</v>
      </c>
      <c r="C32" s="174" t="s">
        <v>328</v>
      </c>
      <c r="D32" s="174" t="s">
        <v>80</v>
      </c>
      <c r="E32" s="174" t="s">
        <v>100</v>
      </c>
      <c r="F32" s="183">
        <f>+'M4'!H32</f>
        <v>0</v>
      </c>
      <c r="G32" s="177"/>
      <c r="H32" s="177"/>
      <c r="I32" s="183">
        <f t="shared" si="4"/>
        <v>0</v>
      </c>
      <c r="J32" s="177"/>
      <c r="K32" s="177"/>
      <c r="L32" s="183">
        <f>SUM(I32:K32)</f>
        <v>0</v>
      </c>
    </row>
    <row r="33" spans="1:12">
      <c r="A33" s="23" t="s">
        <v>1021</v>
      </c>
      <c r="B33" s="51" t="s">
        <v>121</v>
      </c>
      <c r="C33" s="174" t="s">
        <v>330</v>
      </c>
      <c r="D33" s="174" t="s">
        <v>80</v>
      </c>
      <c r="E33" s="174" t="s">
        <v>100</v>
      </c>
      <c r="F33" s="183">
        <f t="shared" ref="F33:L33" si="6">+F31+F32</f>
        <v>54.051999999999872</v>
      </c>
      <c r="G33" s="183">
        <f t="shared" si="6"/>
        <v>-9.581999999999967</v>
      </c>
      <c r="H33" s="183">
        <f t="shared" si="6"/>
        <v>0</v>
      </c>
      <c r="I33" s="183">
        <f t="shared" si="6"/>
        <v>44.470000000000049</v>
      </c>
      <c r="J33" s="183">
        <f t="shared" si="6"/>
        <v>0.62900000000000222</v>
      </c>
      <c r="K33" s="183">
        <f t="shared" si="6"/>
        <v>-0.1770000000000006</v>
      </c>
      <c r="L33" s="183">
        <f t="shared" si="6"/>
        <v>44.922000000000125</v>
      </c>
    </row>
    <row r="34" spans="1:12">
      <c r="A34" s="23" t="s">
        <v>1022</v>
      </c>
      <c r="B34" s="51" t="s">
        <v>123</v>
      </c>
      <c r="C34" s="174" t="s">
        <v>332</v>
      </c>
      <c r="D34" s="174" t="s">
        <v>80</v>
      </c>
      <c r="E34" s="174" t="s">
        <v>100</v>
      </c>
      <c r="F34" s="183">
        <f>+'M4'!H34</f>
        <v>0</v>
      </c>
      <c r="G34" s="177"/>
      <c r="H34" s="177"/>
      <c r="I34" s="183">
        <f t="shared" si="4"/>
        <v>0</v>
      </c>
      <c r="J34" s="177"/>
      <c r="K34" s="177"/>
      <c r="L34" s="183">
        <f>SUM(I34:K34)</f>
        <v>0</v>
      </c>
    </row>
    <row r="35" spans="1:12">
      <c r="A35" s="23" t="s">
        <v>1023</v>
      </c>
      <c r="B35" s="51" t="s">
        <v>334</v>
      </c>
      <c r="C35" s="174" t="s">
        <v>335</v>
      </c>
      <c r="D35" s="174" t="s">
        <v>80</v>
      </c>
      <c r="E35" s="174" t="s">
        <v>100</v>
      </c>
      <c r="F35" s="183">
        <f t="shared" ref="F35:L35" si="7">+F33+F34</f>
        <v>54.051999999999872</v>
      </c>
      <c r="G35" s="183">
        <f t="shared" si="7"/>
        <v>-9.581999999999967</v>
      </c>
      <c r="H35" s="183">
        <f t="shared" si="7"/>
        <v>0</v>
      </c>
      <c r="I35" s="183">
        <f t="shared" si="7"/>
        <v>44.470000000000049</v>
      </c>
      <c r="J35" s="183">
        <f t="shared" si="7"/>
        <v>0.62900000000000222</v>
      </c>
      <c r="K35" s="183">
        <f t="shared" si="7"/>
        <v>-0.1770000000000006</v>
      </c>
      <c r="L35" s="183">
        <f t="shared" si="7"/>
        <v>44.922000000000125</v>
      </c>
    </row>
    <row r="36" spans="1:12" ht="13">
      <c r="A36" s="66"/>
      <c r="B36" s="19"/>
      <c r="C36" s="19"/>
      <c r="D36" s="19"/>
      <c r="E36" s="19"/>
    </row>
    <row r="37" spans="1:12" ht="15.5">
      <c r="A37" s="179" t="s">
        <v>1024</v>
      </c>
    </row>
    <row r="38" spans="1:12" ht="15.5">
      <c r="A38" s="179" t="s">
        <v>337</v>
      </c>
    </row>
    <row r="39" spans="1:12" ht="15.5">
      <c r="A39" s="179"/>
    </row>
    <row r="40" spans="1:12" ht="15.5">
      <c r="A40" s="179"/>
      <c r="F40" s="871" t="s">
        <v>71</v>
      </c>
      <c r="G40" s="872"/>
      <c r="H40" s="872"/>
      <c r="I40" s="872"/>
      <c r="J40" s="872"/>
      <c r="K40" s="872"/>
      <c r="L40" s="873"/>
    </row>
    <row r="41" spans="1:12" ht="12.75" customHeight="1">
      <c r="A41" s="49" t="s">
        <v>66</v>
      </c>
      <c r="B41" s="38" t="s">
        <v>67</v>
      </c>
      <c r="C41" s="39" t="s">
        <v>68</v>
      </c>
      <c r="D41" s="39" t="s">
        <v>69</v>
      </c>
      <c r="E41" s="40" t="s">
        <v>70</v>
      </c>
      <c r="F41" s="36" t="s">
        <v>74</v>
      </c>
      <c r="G41" s="36" t="s">
        <v>991</v>
      </c>
      <c r="H41" s="164" t="s">
        <v>992</v>
      </c>
      <c r="I41" s="157" t="s">
        <v>993</v>
      </c>
      <c r="J41" s="157" t="s">
        <v>77</v>
      </c>
      <c r="K41" s="164" t="s">
        <v>992</v>
      </c>
      <c r="L41" s="39" t="s">
        <v>994</v>
      </c>
    </row>
    <row r="42" spans="1:12" ht="13">
      <c r="A42" s="465"/>
      <c r="B42" s="516"/>
      <c r="C42" s="289" t="s">
        <v>72</v>
      </c>
      <c r="D42" s="289"/>
      <c r="E42" s="466" t="s">
        <v>73</v>
      </c>
      <c r="F42" s="165"/>
      <c r="G42" s="165"/>
      <c r="H42" s="166" t="s">
        <v>995</v>
      </c>
      <c r="I42" s="166" t="s">
        <v>996</v>
      </c>
      <c r="J42" s="166" t="s">
        <v>997</v>
      </c>
      <c r="K42" s="166" t="s">
        <v>995</v>
      </c>
      <c r="L42" s="42"/>
    </row>
    <row r="43" spans="1:12" ht="13">
      <c r="A43" s="473"/>
      <c r="B43" s="518"/>
      <c r="C43" s="474"/>
      <c r="D43" s="474"/>
      <c r="E43" s="475"/>
      <c r="F43" s="476"/>
      <c r="G43" s="476"/>
      <c r="H43" s="476"/>
      <c r="I43" s="476"/>
    </row>
    <row r="44" spans="1:12">
      <c r="A44" s="23" t="s">
        <v>1025</v>
      </c>
      <c r="B44" s="469" t="s">
        <v>121</v>
      </c>
      <c r="C44" s="519" t="s">
        <v>338</v>
      </c>
      <c r="D44" s="519" t="s">
        <v>80</v>
      </c>
      <c r="E44" s="519" t="s">
        <v>100</v>
      </c>
      <c r="F44" s="183">
        <f>+'M4'!H44</f>
        <v>54.051999999999872</v>
      </c>
      <c r="G44" s="520">
        <f>+M27a!G35</f>
        <v>-9.581999999999967</v>
      </c>
      <c r="H44" s="520">
        <f>+M27a!H35</f>
        <v>0</v>
      </c>
      <c r="I44" s="520">
        <f>+M27a!I35</f>
        <v>44.470000000000049</v>
      </c>
      <c r="J44" s="520">
        <f>+M27a!J35</f>
        <v>0.62900000000000222</v>
      </c>
      <c r="K44" s="520">
        <f>+M27a!K35</f>
        <v>-0.1770000000000006</v>
      </c>
      <c r="L44" s="520">
        <f>+M27a!L35</f>
        <v>44.922000000000125</v>
      </c>
    </row>
    <row r="45" spans="1:12">
      <c r="A45" s="23" t="s">
        <v>1026</v>
      </c>
      <c r="B45" s="284" t="s">
        <v>339</v>
      </c>
      <c r="C45" s="521" t="s">
        <v>340</v>
      </c>
      <c r="D45" s="521" t="s">
        <v>80</v>
      </c>
      <c r="E45" s="521" t="s">
        <v>237</v>
      </c>
      <c r="F45" s="183">
        <f>+'M4'!H45</f>
        <v>47.052</v>
      </c>
      <c r="G45" s="275">
        <v>2.6070000000000002</v>
      </c>
      <c r="H45" s="275"/>
      <c r="I45" s="183">
        <f>SUM(F45:H45)</f>
        <v>49.658999999999999</v>
      </c>
      <c r="J45" s="275"/>
      <c r="K45" s="275"/>
      <c r="L45" s="183">
        <f>SUM(I45:K45)</f>
        <v>49.658999999999999</v>
      </c>
    </row>
    <row r="46" spans="1:12">
      <c r="A46" s="23" t="s">
        <v>1027</v>
      </c>
      <c r="B46" s="284" t="s">
        <v>341</v>
      </c>
      <c r="C46" s="521"/>
      <c r="D46" s="521" t="s">
        <v>80</v>
      </c>
      <c r="E46" s="521" t="s">
        <v>237</v>
      </c>
      <c r="F46" s="183">
        <f>+'M4'!H46</f>
        <v>-23.061</v>
      </c>
      <c r="G46" s="275">
        <f>-1.524+0.334</f>
        <v>-1.19</v>
      </c>
      <c r="H46" s="275"/>
      <c r="I46" s="183">
        <f>SUM(F46:H46)</f>
        <v>-24.251000000000001</v>
      </c>
      <c r="J46" s="275"/>
      <c r="K46" s="275"/>
      <c r="L46" s="183">
        <f>SUM(I46:K46)</f>
        <v>-24.251000000000001</v>
      </c>
    </row>
    <row r="47" spans="1:12">
      <c r="A47" s="23" t="s">
        <v>1028</v>
      </c>
      <c r="B47" s="284" t="s">
        <v>342</v>
      </c>
      <c r="C47" s="521" t="s">
        <v>343</v>
      </c>
      <c r="D47" s="521" t="s">
        <v>80</v>
      </c>
      <c r="E47" s="521" t="s">
        <v>237</v>
      </c>
      <c r="F47" s="183">
        <f>+'M4'!H47</f>
        <v>0</v>
      </c>
      <c r="G47" s="275">
        <v>0</v>
      </c>
      <c r="H47" s="275"/>
      <c r="I47" s="183">
        <f>SUM(F47:H47)</f>
        <v>0</v>
      </c>
      <c r="J47" s="275">
        <v>1.256</v>
      </c>
      <c r="K47" s="275"/>
      <c r="L47" s="183">
        <f>SUM(I47:K47)</f>
        <v>1.256</v>
      </c>
    </row>
    <row r="48" spans="1:12">
      <c r="A48" s="23" t="s">
        <v>1029</v>
      </c>
      <c r="B48" s="284" t="s">
        <v>344</v>
      </c>
      <c r="C48" s="521" t="s">
        <v>345</v>
      </c>
      <c r="D48" s="521" t="s">
        <v>80</v>
      </c>
      <c r="E48" s="521" t="s">
        <v>100</v>
      </c>
      <c r="F48" s="522">
        <f t="shared" ref="F48:L48" si="8">SUM(F44:F47)</f>
        <v>78.042999999999864</v>
      </c>
      <c r="G48" s="522">
        <f t="shared" si="8"/>
        <v>-8.1649999999999672</v>
      </c>
      <c r="H48" s="522">
        <f t="shared" si="8"/>
        <v>0</v>
      </c>
      <c r="I48" s="522">
        <f t="shared" si="8"/>
        <v>69.878000000000043</v>
      </c>
      <c r="J48" s="522">
        <f t="shared" si="8"/>
        <v>1.8850000000000022</v>
      </c>
      <c r="K48" s="522">
        <f t="shared" si="8"/>
        <v>-0.1770000000000006</v>
      </c>
      <c r="L48" s="522">
        <f t="shared" si="8"/>
        <v>71.586000000000126</v>
      </c>
    </row>
    <row r="49" spans="1:1">
      <c r="A49" s="67"/>
    </row>
  </sheetData>
  <mergeCells count="3">
    <mergeCell ref="F6:L6"/>
    <mergeCell ref="C11:C20"/>
    <mergeCell ref="F40:L40"/>
  </mergeCells>
  <pageMargins left="0.31" right="0.3" top="0.4" bottom="0.54" header="0.28000000000000003" footer="0.28999999999999998"/>
  <pageSetup paperSize="9" scale="73" orientation="landscape" r:id="rId1"/>
  <headerFooter alignWithMargins="0">
    <oddFooter>&amp;RRegulatory Accounts - M tables 2010-11 v1.2&amp;L&amp;1#&amp;"Arial"&amp;11&amp;K000000SW Internal Commercial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00FF"/>
    <pageSetUpPr fitToPage="1"/>
  </sheetPr>
  <dimension ref="A1:N48"/>
  <sheetViews>
    <sheetView zoomScaleNormal="100" zoomScaleSheetLayoutView="100" workbookViewId="0">
      <pane xSplit="2" topLeftCell="E1" activePane="topRight" state="frozen"/>
      <selection activeCell="J11" sqref="J11"/>
      <selection pane="topRight" activeCell="F61" sqref="F61"/>
    </sheetView>
  </sheetViews>
  <sheetFormatPr defaultColWidth="8.81640625" defaultRowHeight="12.5"/>
  <cols>
    <col min="1" max="1" width="5.26953125" style="180" customWidth="1"/>
    <col min="2" max="2" width="39.453125" style="67" customWidth="1"/>
    <col min="3" max="3" width="10.1796875" style="67" customWidth="1"/>
    <col min="4" max="5" width="6.453125" style="67" customWidth="1"/>
    <col min="6" max="7" width="11.81640625" style="67" customWidth="1"/>
    <col min="8" max="8" width="14.1796875" style="67" customWidth="1"/>
    <col min="9" max="9" width="18.453125" style="67" customWidth="1"/>
    <col min="10" max="11" width="13.26953125" style="67" customWidth="1"/>
    <col min="12" max="12" width="14.453125" style="67" customWidth="1"/>
    <col min="13" max="16384" width="8.81640625" style="67"/>
  </cols>
  <sheetData>
    <row r="1" spans="1:13" ht="15.5">
      <c r="B1" s="186"/>
      <c r="C1" s="186"/>
      <c r="D1" s="186"/>
      <c r="E1" s="186"/>
      <c r="M1" s="693"/>
    </row>
    <row r="2" spans="1:13" ht="15.5">
      <c r="A2" s="179" t="s">
        <v>64</v>
      </c>
      <c r="B2" s="186"/>
      <c r="C2" s="186"/>
      <c r="D2" s="186"/>
      <c r="E2" s="186"/>
      <c r="M2" s="693"/>
    </row>
    <row r="3" spans="1:13" ht="15.5">
      <c r="A3" s="179" t="s">
        <v>1030</v>
      </c>
      <c r="M3" s="693"/>
    </row>
    <row r="4" spans="1:13" ht="15.5">
      <c r="A4" s="179" t="s">
        <v>347</v>
      </c>
      <c r="M4" s="693"/>
    </row>
    <row r="5" spans="1:13" ht="15.5">
      <c r="A5" s="179"/>
      <c r="M5" s="693"/>
    </row>
    <row r="6" spans="1:13" ht="15.5">
      <c r="A6" s="179"/>
      <c r="F6" s="871" t="s">
        <v>562</v>
      </c>
      <c r="G6" s="872"/>
      <c r="H6" s="872"/>
      <c r="I6" s="872"/>
      <c r="J6" s="872"/>
      <c r="K6" s="872"/>
      <c r="L6" s="873"/>
      <c r="M6" s="693"/>
    </row>
    <row r="7" spans="1:13" ht="13">
      <c r="A7" s="460" t="s">
        <v>66</v>
      </c>
      <c r="B7" s="461" t="s">
        <v>67</v>
      </c>
      <c r="C7" s="288" t="s">
        <v>68</v>
      </c>
      <c r="D7" s="288" t="s">
        <v>69</v>
      </c>
      <c r="E7" s="462" t="s">
        <v>70</v>
      </c>
      <c r="F7" s="36" t="s">
        <v>74</v>
      </c>
      <c r="G7" s="36" t="s">
        <v>1031</v>
      </c>
      <c r="H7" s="164" t="s">
        <v>992</v>
      </c>
      <c r="I7" s="157" t="s">
        <v>993</v>
      </c>
      <c r="J7" s="157" t="s">
        <v>77</v>
      </c>
      <c r="K7" s="164" t="s">
        <v>992</v>
      </c>
      <c r="L7" s="39" t="s">
        <v>994</v>
      </c>
      <c r="M7" s="693"/>
    </row>
    <row r="8" spans="1:13" ht="13">
      <c r="A8" s="41"/>
      <c r="B8" s="464"/>
      <c r="C8" s="42" t="s">
        <v>72</v>
      </c>
      <c r="D8" s="42"/>
      <c r="E8" s="43" t="s">
        <v>73</v>
      </c>
      <c r="F8" s="165"/>
      <c r="G8" s="165"/>
      <c r="H8" s="166" t="s">
        <v>995</v>
      </c>
      <c r="I8" s="166" t="s">
        <v>996</v>
      </c>
      <c r="J8" s="166" t="s">
        <v>997</v>
      </c>
      <c r="K8" s="166" t="s">
        <v>995</v>
      </c>
      <c r="L8" s="42"/>
      <c r="M8" s="693"/>
    </row>
    <row r="9" spans="1:13" ht="12.75" customHeight="1">
      <c r="A9" s="48"/>
      <c r="B9" s="188" t="s">
        <v>132</v>
      </c>
      <c r="C9" s="189"/>
      <c r="D9" s="189"/>
      <c r="E9" s="189"/>
      <c r="M9" s="693"/>
    </row>
    <row r="10" spans="1:13" ht="13">
      <c r="A10" s="23" t="s">
        <v>348</v>
      </c>
      <c r="B10" s="51" t="s">
        <v>349</v>
      </c>
      <c r="C10" s="174" t="s">
        <v>350</v>
      </c>
      <c r="D10" s="174" t="s">
        <v>80</v>
      </c>
      <c r="E10" s="174" t="s">
        <v>100</v>
      </c>
      <c r="F10" s="694">
        <f>+'M5'!H10</f>
        <v>6104.4679999999998</v>
      </c>
      <c r="G10" s="177">
        <v>3.5710000000000002</v>
      </c>
      <c r="H10" s="177"/>
      <c r="I10" s="694">
        <f>SUM(F10:H10)</f>
        <v>6108.0389999999998</v>
      </c>
      <c r="J10" s="177">
        <v>23.295000000000002</v>
      </c>
      <c r="K10" s="177">
        <v>-0.57099999999999995</v>
      </c>
      <c r="L10" s="694">
        <f>SUM(I10:K10)</f>
        <v>6130.7629999999999</v>
      </c>
      <c r="M10" s="695"/>
    </row>
    <row r="11" spans="1:13" ht="13">
      <c r="A11" s="23" t="s">
        <v>351</v>
      </c>
      <c r="B11" s="51" t="s">
        <v>352</v>
      </c>
      <c r="C11" s="174" t="s">
        <v>315</v>
      </c>
      <c r="D11" s="174" t="s">
        <v>80</v>
      </c>
      <c r="E11" s="174" t="s">
        <v>237</v>
      </c>
      <c r="F11" s="694">
        <f>+'M5'!H11</f>
        <v>290.48899999999998</v>
      </c>
      <c r="G11" s="177"/>
      <c r="H11" s="177"/>
      <c r="I11" s="694">
        <f>SUM(F11:H11)</f>
        <v>290.48899999999998</v>
      </c>
      <c r="J11" s="177">
        <v>40.777000000000001</v>
      </c>
      <c r="K11" s="177">
        <v>-31.8</v>
      </c>
      <c r="L11" s="694">
        <f>SUM(I11:K11)</f>
        <v>299.46599999999995</v>
      </c>
      <c r="M11" s="695"/>
    </row>
    <row r="12" spans="1:13" ht="13">
      <c r="A12" s="23" t="s">
        <v>353</v>
      </c>
      <c r="B12" s="190" t="s">
        <v>354</v>
      </c>
      <c r="C12" s="174" t="s">
        <v>355</v>
      </c>
      <c r="D12" s="174" t="s">
        <v>80</v>
      </c>
      <c r="E12" s="174" t="s">
        <v>237</v>
      </c>
      <c r="F12" s="694">
        <f>+'M5'!H12</f>
        <v>0</v>
      </c>
      <c r="G12" s="177"/>
      <c r="H12" s="177"/>
      <c r="I12" s="694">
        <f>SUM(F12:H12)</f>
        <v>0</v>
      </c>
      <c r="J12" s="177"/>
      <c r="K12" s="177"/>
      <c r="L12" s="694">
        <f>SUM(I12:K12)</f>
        <v>0</v>
      </c>
      <c r="M12" s="695"/>
    </row>
    <row r="13" spans="1:13" ht="13">
      <c r="A13" s="67"/>
      <c r="M13" s="695"/>
    </row>
    <row r="14" spans="1:13" ht="13">
      <c r="A14" s="60"/>
      <c r="B14" s="191" t="s">
        <v>356</v>
      </c>
      <c r="M14" s="695"/>
    </row>
    <row r="15" spans="1:13" ht="13">
      <c r="A15" s="28" t="s">
        <v>357</v>
      </c>
      <c r="B15" s="192" t="s">
        <v>358</v>
      </c>
      <c r="C15" s="174" t="s">
        <v>359</v>
      </c>
      <c r="D15" s="174" t="s">
        <v>80</v>
      </c>
      <c r="E15" s="174" t="s">
        <v>100</v>
      </c>
      <c r="F15" s="694">
        <f>+'M5'!H15</f>
        <v>-305.38599999999997</v>
      </c>
      <c r="G15" s="696">
        <f>23.384+1.597</f>
        <v>24.981000000000002</v>
      </c>
      <c r="H15" s="696">
        <v>-5.9489999999999998</v>
      </c>
      <c r="I15" s="694">
        <f>SUM(F15:H15)</f>
        <v>-286.35399999999998</v>
      </c>
      <c r="J15" s="696">
        <f>-10.365+7.591+7.397</f>
        <v>4.6230000000000002</v>
      </c>
      <c r="K15" s="696">
        <v>-6.0999999999999999E-2</v>
      </c>
      <c r="L15" s="694">
        <f>SUM(I15:K15)</f>
        <v>-281.79199999999997</v>
      </c>
      <c r="M15" s="695"/>
    </row>
    <row r="16" spans="1:13" ht="13">
      <c r="A16" s="28" t="s">
        <v>360</v>
      </c>
      <c r="B16" s="190" t="s">
        <v>361</v>
      </c>
      <c r="C16" s="174" t="s">
        <v>362</v>
      </c>
      <c r="D16" s="174" t="s">
        <v>80</v>
      </c>
      <c r="E16" s="174" t="s">
        <v>100</v>
      </c>
      <c r="F16" s="694">
        <f>+'M5'!H16</f>
        <v>116.643</v>
      </c>
      <c r="G16" s="696">
        <v>57.81</v>
      </c>
      <c r="H16" s="696"/>
      <c r="I16" s="694">
        <f>SUM(F16:H16)</f>
        <v>174.453</v>
      </c>
      <c r="J16" s="696">
        <f>0.001+82.358</f>
        <v>82.359000000000009</v>
      </c>
      <c r="K16" s="696"/>
      <c r="L16" s="694">
        <f>SUM(I16:K16)</f>
        <v>256.81200000000001</v>
      </c>
      <c r="M16" s="695"/>
    </row>
    <row r="17" spans="1:13" ht="13">
      <c r="A17" s="28" t="s">
        <v>363</v>
      </c>
      <c r="B17" s="190" t="s">
        <v>156</v>
      </c>
      <c r="C17" s="174" t="s">
        <v>364</v>
      </c>
      <c r="D17" s="174" t="s">
        <v>80</v>
      </c>
      <c r="E17" s="174" t="s">
        <v>100</v>
      </c>
      <c r="F17" s="694">
        <f>+'M5'!H17</f>
        <v>274.8</v>
      </c>
      <c r="G17" s="696"/>
      <c r="H17" s="696"/>
      <c r="I17" s="694">
        <f>SUM(F17:H17)</f>
        <v>274.8</v>
      </c>
      <c r="J17" s="696"/>
      <c r="K17" s="696"/>
      <c r="L17" s="694">
        <f>SUM(I17:K17)</f>
        <v>274.8</v>
      </c>
      <c r="M17" s="695"/>
    </row>
    <row r="18" spans="1:13" ht="13">
      <c r="A18" s="28" t="s">
        <v>365</v>
      </c>
      <c r="B18" s="190" t="s">
        <v>170</v>
      </c>
      <c r="C18" s="174" t="s">
        <v>366</v>
      </c>
      <c r="D18" s="174" t="s">
        <v>80</v>
      </c>
      <c r="E18" s="174" t="s">
        <v>100</v>
      </c>
      <c r="F18" s="694">
        <f>+'M5'!H18</f>
        <v>0</v>
      </c>
      <c r="G18" s="696"/>
      <c r="H18" s="696"/>
      <c r="I18" s="694">
        <f>SUM(F18:H18)</f>
        <v>0</v>
      </c>
      <c r="J18" s="696"/>
      <c r="K18" s="696"/>
      <c r="L18" s="694">
        <f>SUM(I18:K18)</f>
        <v>0</v>
      </c>
      <c r="M18" s="695"/>
    </row>
    <row r="19" spans="1:13" ht="12.75" customHeight="1">
      <c r="A19" s="28" t="s">
        <v>367</v>
      </c>
      <c r="B19" s="190" t="s">
        <v>368</v>
      </c>
      <c r="C19" s="174" t="s">
        <v>369</v>
      </c>
      <c r="D19" s="174" t="s">
        <v>80</v>
      </c>
      <c r="E19" s="174" t="s">
        <v>100</v>
      </c>
      <c r="F19" s="183">
        <f t="shared" ref="F19:L19" si="0">SUM(F10:F18)</f>
        <v>6481.0140000000001</v>
      </c>
      <c r="G19" s="183">
        <f t="shared" si="0"/>
        <v>86.362000000000009</v>
      </c>
      <c r="H19" s="183">
        <f t="shared" si="0"/>
        <v>-5.9489999999999998</v>
      </c>
      <c r="I19" s="183">
        <f t="shared" si="0"/>
        <v>6561.4269999999997</v>
      </c>
      <c r="J19" s="183">
        <f t="shared" si="0"/>
        <v>151.05400000000003</v>
      </c>
      <c r="K19" s="183">
        <f t="shared" si="0"/>
        <v>-32.432000000000002</v>
      </c>
      <c r="L19" s="183">
        <f t="shared" si="0"/>
        <v>6680.049</v>
      </c>
      <c r="M19" s="695"/>
    </row>
    <row r="20" spans="1:13" ht="12.75" customHeight="1">
      <c r="A20" s="67"/>
      <c r="M20" s="695"/>
    </row>
    <row r="21" spans="1:13" ht="12.75" customHeight="1">
      <c r="A21" s="61"/>
      <c r="B21" s="191" t="s">
        <v>370</v>
      </c>
      <c r="M21" s="695"/>
    </row>
    <row r="22" spans="1:13" ht="12.75" customHeight="1">
      <c r="A22" s="28" t="s">
        <v>371</v>
      </c>
      <c r="B22" s="193" t="s">
        <v>372</v>
      </c>
      <c r="C22" s="174" t="s">
        <v>373</v>
      </c>
      <c r="D22" s="174" t="s">
        <v>80</v>
      </c>
      <c r="E22" s="174" t="s">
        <v>100</v>
      </c>
      <c r="F22" s="694">
        <f>+'M5'!H22</f>
        <v>-0.5</v>
      </c>
      <c r="G22" s="696"/>
      <c r="H22" s="696"/>
      <c r="I22" s="694">
        <f t="shared" ref="I22:I27" si="1">SUM(F22:H22)</f>
        <v>-0.5</v>
      </c>
      <c r="J22" s="696">
        <v>-4.5549999999999997</v>
      </c>
      <c r="K22" s="696"/>
      <c r="L22" s="694">
        <f t="shared" ref="L22:L27" si="2">SUM(I22:K22)</f>
        <v>-5.0549999999999997</v>
      </c>
      <c r="M22" s="695"/>
    </row>
    <row r="23" spans="1:13" ht="12.75" customHeight="1">
      <c r="A23" s="28" t="s">
        <v>374</v>
      </c>
      <c r="B23" s="190" t="s">
        <v>375</v>
      </c>
      <c r="C23" s="174"/>
      <c r="D23" s="174" t="s">
        <v>80</v>
      </c>
      <c r="E23" s="174" t="s">
        <v>100</v>
      </c>
      <c r="F23" s="694">
        <f>+'M5'!H23</f>
        <v>0</v>
      </c>
      <c r="G23" s="696"/>
      <c r="H23" s="696"/>
      <c r="I23" s="694">
        <f t="shared" si="1"/>
        <v>0</v>
      </c>
      <c r="J23" s="696"/>
      <c r="K23" s="696"/>
      <c r="L23" s="694">
        <f t="shared" si="2"/>
        <v>0</v>
      </c>
      <c r="M23" s="695"/>
    </row>
    <row r="24" spans="1:13" ht="12.75" customHeight="1">
      <c r="A24" s="28" t="s">
        <v>376</v>
      </c>
      <c r="B24" s="190" t="s">
        <v>137</v>
      </c>
      <c r="C24" s="174" t="s">
        <v>377</v>
      </c>
      <c r="D24" s="174" t="s">
        <v>80</v>
      </c>
      <c r="E24" s="174" t="s">
        <v>100</v>
      </c>
      <c r="F24" s="694">
        <f>+'M5'!H24</f>
        <v>0</v>
      </c>
      <c r="G24" s="696"/>
      <c r="H24" s="696"/>
      <c r="I24" s="694">
        <f t="shared" si="1"/>
        <v>0</v>
      </c>
      <c r="J24" s="696"/>
      <c r="K24" s="696"/>
      <c r="L24" s="694">
        <f t="shared" si="2"/>
        <v>0</v>
      </c>
      <c r="M24" s="695"/>
    </row>
    <row r="25" spans="1:13" ht="12.75" customHeight="1">
      <c r="A25" s="28" t="s">
        <v>378</v>
      </c>
      <c r="B25" s="190" t="s">
        <v>140</v>
      </c>
      <c r="C25" s="174" t="s">
        <v>379</v>
      </c>
      <c r="D25" s="174" t="s">
        <v>80</v>
      </c>
      <c r="E25" s="174" t="s">
        <v>100</v>
      </c>
      <c r="F25" s="694">
        <f>+'M5'!H25</f>
        <v>37.643000000000001</v>
      </c>
      <c r="G25" s="696">
        <v>14.018000000000001</v>
      </c>
      <c r="H25" s="696"/>
      <c r="I25" s="694">
        <f t="shared" si="1"/>
        <v>51.661000000000001</v>
      </c>
      <c r="J25" s="696">
        <f>46.1+23.222</f>
        <v>69.322000000000003</v>
      </c>
      <c r="K25" s="696">
        <f>-83.701-23.222</f>
        <v>-106.923</v>
      </c>
      <c r="L25" s="694">
        <f t="shared" si="2"/>
        <v>14.060000000000002</v>
      </c>
      <c r="M25" s="695"/>
    </row>
    <row r="26" spans="1:13" ht="12.75" customHeight="1">
      <c r="A26" s="28" t="s">
        <v>380</v>
      </c>
      <c r="B26" s="190" t="s">
        <v>182</v>
      </c>
      <c r="C26" s="174" t="s">
        <v>381</v>
      </c>
      <c r="D26" s="174" t="s">
        <v>80</v>
      </c>
      <c r="E26" s="174" t="s">
        <v>100</v>
      </c>
      <c r="F26" s="694">
        <f>+'M5'!H26</f>
        <v>1.05</v>
      </c>
      <c r="G26" s="696">
        <v>0.51500000000000001</v>
      </c>
      <c r="H26" s="696"/>
      <c r="I26" s="694">
        <f t="shared" si="1"/>
        <v>1.5649999999999999</v>
      </c>
      <c r="J26" s="696">
        <v>1.5820000000000001</v>
      </c>
      <c r="K26" s="696"/>
      <c r="L26" s="694">
        <f t="shared" si="2"/>
        <v>3.1470000000000002</v>
      </c>
      <c r="M26" s="695"/>
    </row>
    <row r="27" spans="1:13" ht="12.75" customHeight="1">
      <c r="A27" s="28" t="s">
        <v>382</v>
      </c>
      <c r="B27" s="190" t="s">
        <v>185</v>
      </c>
      <c r="C27" s="174" t="s">
        <v>383</v>
      </c>
      <c r="D27" s="174" t="s">
        <v>80</v>
      </c>
      <c r="E27" s="174" t="s">
        <v>100</v>
      </c>
      <c r="F27" s="694">
        <f>+'M5'!H27</f>
        <v>0</v>
      </c>
      <c r="G27" s="696"/>
      <c r="H27" s="696"/>
      <c r="I27" s="694">
        <f t="shared" si="1"/>
        <v>0</v>
      </c>
      <c r="J27" s="696"/>
      <c r="K27" s="696"/>
      <c r="L27" s="694">
        <f t="shared" si="2"/>
        <v>0</v>
      </c>
      <c r="M27" s="695"/>
    </row>
    <row r="28" spans="1:13" ht="12.75" customHeight="1">
      <c r="A28" s="28" t="s">
        <v>384</v>
      </c>
      <c r="B28" s="190" t="s">
        <v>385</v>
      </c>
      <c r="C28" s="174"/>
      <c r="D28" s="174" t="s">
        <v>80</v>
      </c>
      <c r="E28" s="174" t="s">
        <v>100</v>
      </c>
      <c r="F28" s="183">
        <f t="shared" ref="F28:L28" si="3">SUM(F22:F27)</f>
        <v>38.192999999999998</v>
      </c>
      <c r="G28" s="183">
        <f t="shared" si="3"/>
        <v>14.533000000000001</v>
      </c>
      <c r="H28" s="183">
        <f t="shared" si="3"/>
        <v>0</v>
      </c>
      <c r="I28" s="183">
        <f t="shared" si="3"/>
        <v>52.725999999999999</v>
      </c>
      <c r="J28" s="183">
        <f t="shared" si="3"/>
        <v>66.34899999999999</v>
      </c>
      <c r="K28" s="183">
        <f t="shared" si="3"/>
        <v>-106.923</v>
      </c>
      <c r="L28" s="183">
        <f t="shared" si="3"/>
        <v>12.152000000000003</v>
      </c>
      <c r="M28" s="695"/>
    </row>
    <row r="29" spans="1:13" ht="12.75" customHeight="1">
      <c r="A29" s="194"/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695"/>
    </row>
    <row r="30" spans="1:13" ht="12.75" customHeight="1">
      <c r="A30" s="61"/>
      <c r="B30" s="191" t="s">
        <v>386</v>
      </c>
      <c r="M30" s="695"/>
    </row>
    <row r="31" spans="1:13" ht="12.75" customHeight="1">
      <c r="A31" s="28" t="s">
        <v>387</v>
      </c>
      <c r="B31" s="190" t="s">
        <v>372</v>
      </c>
      <c r="C31" s="174" t="s">
        <v>388</v>
      </c>
      <c r="D31" s="174" t="s">
        <v>80</v>
      </c>
      <c r="E31" s="174" t="s">
        <v>100</v>
      </c>
      <c r="F31" s="694">
        <f>+'M5'!H31</f>
        <v>0</v>
      </c>
      <c r="G31" s="696"/>
      <c r="H31" s="696"/>
      <c r="I31" s="694">
        <f>SUM(F31:H31)</f>
        <v>0</v>
      </c>
      <c r="J31" s="696">
        <f>-35.847</f>
        <v>-35.847000000000001</v>
      </c>
      <c r="K31" s="696"/>
      <c r="L31" s="694">
        <f>SUM(I31:K31)</f>
        <v>-35.847000000000001</v>
      </c>
      <c r="M31" s="695"/>
    </row>
    <row r="32" spans="1:13" ht="12.75" customHeight="1">
      <c r="A32" s="28" t="s">
        <v>389</v>
      </c>
      <c r="B32" s="190" t="s">
        <v>390</v>
      </c>
      <c r="C32" s="174" t="s">
        <v>391</v>
      </c>
      <c r="D32" s="174" t="s">
        <v>80</v>
      </c>
      <c r="E32" s="174" t="s">
        <v>100</v>
      </c>
      <c r="F32" s="694">
        <f>+'M5'!H32</f>
        <v>-61.1</v>
      </c>
      <c r="G32" s="696"/>
      <c r="H32" s="696"/>
      <c r="I32" s="694">
        <f>SUM(F32:H32)</f>
        <v>-61.1</v>
      </c>
      <c r="J32" s="696">
        <f>-9.024-7.397</f>
        <v>-16.420999999999999</v>
      </c>
      <c r="K32" s="696"/>
      <c r="L32" s="694">
        <f>SUM(I32:K32)</f>
        <v>-77.521000000000001</v>
      </c>
      <c r="M32" s="695"/>
    </row>
    <row r="33" spans="1:14" ht="12.75" customHeight="1">
      <c r="A33" s="28" t="s">
        <v>392</v>
      </c>
      <c r="B33" s="190" t="s">
        <v>393</v>
      </c>
      <c r="C33" s="174"/>
      <c r="D33" s="174" t="s">
        <v>80</v>
      </c>
      <c r="E33" s="174" t="s">
        <v>100</v>
      </c>
      <c r="F33" s="183">
        <f t="shared" ref="F33:L33" si="4">SUM(F31:F32)</f>
        <v>-61.1</v>
      </c>
      <c r="G33" s="183">
        <f t="shared" si="4"/>
        <v>0</v>
      </c>
      <c r="H33" s="183">
        <f t="shared" si="4"/>
        <v>0</v>
      </c>
      <c r="I33" s="183">
        <f t="shared" si="4"/>
        <v>-61.1</v>
      </c>
      <c r="J33" s="183">
        <f t="shared" si="4"/>
        <v>-52.268000000000001</v>
      </c>
      <c r="K33" s="183">
        <f t="shared" si="4"/>
        <v>0</v>
      </c>
      <c r="L33" s="183">
        <f t="shared" si="4"/>
        <v>-113.36799999999999</v>
      </c>
      <c r="M33" s="695"/>
    </row>
    <row r="34" spans="1:14" ht="12.75" customHeight="1">
      <c r="A34" s="67"/>
      <c r="M34" s="695"/>
    </row>
    <row r="35" spans="1:14" ht="12.75" customHeight="1">
      <c r="A35" s="195"/>
      <c r="B35" s="191" t="s">
        <v>394</v>
      </c>
      <c r="M35" s="695"/>
    </row>
    <row r="36" spans="1:14" ht="12.75" customHeight="1">
      <c r="A36" s="23" t="s">
        <v>395</v>
      </c>
      <c r="B36" s="192" t="s">
        <v>205</v>
      </c>
      <c r="C36" s="174" t="s">
        <v>396</v>
      </c>
      <c r="D36" s="174" t="s">
        <v>80</v>
      </c>
      <c r="E36" s="174" t="s">
        <v>100</v>
      </c>
      <c r="F36" s="694">
        <f>+'M5'!H36</f>
        <v>-466.23599999999999</v>
      </c>
      <c r="G36" s="696">
        <v>0.82799999999999996</v>
      </c>
      <c r="H36" s="696">
        <v>0.122</v>
      </c>
      <c r="I36" s="694">
        <f>SUM(F36:H36)</f>
        <v>-465.286</v>
      </c>
      <c r="J36" s="696">
        <f>-1.126-4.722</f>
        <v>-5.8480000000000008</v>
      </c>
      <c r="K36" s="696">
        <f>0.27-0.122</f>
        <v>0.14800000000000002</v>
      </c>
      <c r="L36" s="694">
        <f>SUM(I36:K36)</f>
        <v>-470.98599999999999</v>
      </c>
      <c r="M36" s="695"/>
    </row>
    <row r="37" spans="1:14" ht="12.75" customHeight="1">
      <c r="A37" s="23" t="s">
        <v>397</v>
      </c>
      <c r="B37" s="190" t="s">
        <v>398</v>
      </c>
      <c r="C37" s="174" t="s">
        <v>399</v>
      </c>
      <c r="D37" s="174" t="s">
        <v>80</v>
      </c>
      <c r="E37" s="174" t="s">
        <v>100</v>
      </c>
      <c r="F37" s="694">
        <f>+'M5'!H37</f>
        <v>-175.928</v>
      </c>
      <c r="G37" s="177">
        <v>-2.7549999999999999</v>
      </c>
      <c r="H37" s="177"/>
      <c r="I37" s="694">
        <f>SUM(F37:H37)</f>
        <v>-178.68299999999999</v>
      </c>
      <c r="J37" s="177"/>
      <c r="K37" s="177"/>
      <c r="L37" s="694">
        <f>SUM(I37:K37)</f>
        <v>-178.68299999999999</v>
      </c>
      <c r="M37" s="695"/>
    </row>
    <row r="38" spans="1:14" ht="12.75" customHeight="1">
      <c r="A38" s="23" t="s">
        <v>400</v>
      </c>
      <c r="B38" s="190" t="s">
        <v>214</v>
      </c>
      <c r="C38" s="174" t="s">
        <v>401</v>
      </c>
      <c r="D38" s="174" t="s">
        <v>80</v>
      </c>
      <c r="E38" s="174" t="s">
        <v>100</v>
      </c>
      <c r="F38" s="694">
        <f>+'M5'!H38</f>
        <v>-31.613</v>
      </c>
      <c r="G38" s="177"/>
      <c r="H38" s="177">
        <v>7.65</v>
      </c>
      <c r="I38" s="694">
        <f>SUM(F38:H38)</f>
        <v>-23.963000000000001</v>
      </c>
      <c r="J38" s="177">
        <v>-0.16900000000000001</v>
      </c>
      <c r="K38" s="177"/>
      <c r="L38" s="694">
        <f>SUM(I38:K38)</f>
        <v>-24.132000000000001</v>
      </c>
      <c r="M38" s="695"/>
    </row>
    <row r="39" spans="1:14" ht="12.75" customHeight="1">
      <c r="A39" s="23" t="s">
        <v>402</v>
      </c>
      <c r="B39" s="190" t="s">
        <v>403</v>
      </c>
      <c r="C39" s="174" t="s">
        <v>379</v>
      </c>
      <c r="D39" s="174" t="s">
        <v>80</v>
      </c>
      <c r="E39" s="174" t="s">
        <v>100</v>
      </c>
      <c r="F39" s="196">
        <f t="shared" ref="F39:L39" si="5">SUM(F36:F38)</f>
        <v>-673.77700000000004</v>
      </c>
      <c r="G39" s="196">
        <f t="shared" si="5"/>
        <v>-1.927</v>
      </c>
      <c r="H39" s="196">
        <f t="shared" si="5"/>
        <v>7.7720000000000002</v>
      </c>
      <c r="I39" s="196">
        <f t="shared" si="5"/>
        <v>-667.93200000000002</v>
      </c>
      <c r="J39" s="196">
        <f t="shared" si="5"/>
        <v>-6.0170000000000003</v>
      </c>
      <c r="K39" s="196">
        <f t="shared" si="5"/>
        <v>0.14800000000000002</v>
      </c>
      <c r="L39" s="196">
        <f t="shared" si="5"/>
        <v>-673.80099999999993</v>
      </c>
      <c r="M39" s="695"/>
    </row>
    <row r="40" spans="1:14" ht="12.75" customHeight="1">
      <c r="A40" s="23" t="s">
        <v>404</v>
      </c>
      <c r="B40" s="51" t="s">
        <v>405</v>
      </c>
      <c r="C40" s="174" t="s">
        <v>406</v>
      </c>
      <c r="D40" s="174" t="s">
        <v>80</v>
      </c>
      <c r="E40" s="174" t="s">
        <v>100</v>
      </c>
      <c r="F40" s="183">
        <f t="shared" ref="F40:L40" si="6">+F19+F28+F33+F39</f>
        <v>5784.33</v>
      </c>
      <c r="G40" s="183">
        <f t="shared" si="6"/>
        <v>98.968000000000004</v>
      </c>
      <c r="H40" s="183">
        <f t="shared" si="6"/>
        <v>1.8230000000000004</v>
      </c>
      <c r="I40" s="183">
        <f t="shared" si="6"/>
        <v>5885.1209999999992</v>
      </c>
      <c r="J40" s="183">
        <f t="shared" si="6"/>
        <v>159.11800000000002</v>
      </c>
      <c r="K40" s="183">
        <f t="shared" si="6"/>
        <v>-139.20700000000002</v>
      </c>
      <c r="L40" s="183">
        <f t="shared" si="6"/>
        <v>5905.0319999999992</v>
      </c>
      <c r="M40" s="695"/>
      <c r="N40" s="170"/>
    </row>
    <row r="41" spans="1:14" ht="13">
      <c r="A41" s="66"/>
      <c r="B41" s="16"/>
      <c r="D41" s="16"/>
      <c r="E41" s="16"/>
      <c r="F41" s="16"/>
      <c r="G41" s="16"/>
      <c r="H41" s="16"/>
      <c r="I41" s="16"/>
      <c r="J41" s="16"/>
      <c r="K41" s="16"/>
      <c r="L41" s="16"/>
      <c r="M41" s="695"/>
    </row>
    <row r="42" spans="1:14" ht="13">
      <c r="A42" s="48"/>
      <c r="B42" s="188" t="s">
        <v>219</v>
      </c>
      <c r="D42" s="189"/>
      <c r="E42" s="189"/>
      <c r="F42" s="189"/>
      <c r="G42" s="189"/>
      <c r="H42" s="189"/>
      <c r="I42" s="189"/>
      <c r="J42" s="189"/>
      <c r="K42" s="189"/>
      <c r="L42" s="189"/>
      <c r="M42" s="695"/>
    </row>
    <row r="43" spans="1:14" ht="13">
      <c r="A43" s="23" t="s">
        <v>407</v>
      </c>
      <c r="B43" s="190" t="s">
        <v>1032</v>
      </c>
      <c r="C43" s="174"/>
      <c r="D43" s="174" t="s">
        <v>80</v>
      </c>
      <c r="E43" s="174" t="s">
        <v>100</v>
      </c>
      <c r="F43" s="694">
        <f>+'M5'!H43</f>
        <v>3928.3719999999998</v>
      </c>
      <c r="G43" s="696">
        <v>11.5</v>
      </c>
      <c r="H43" s="696"/>
      <c r="I43" s="694">
        <f>SUM(F43:H43)</f>
        <v>3939.8719999999998</v>
      </c>
      <c r="J43" s="696">
        <f>72.207+7.106</f>
        <v>79.312999999999988</v>
      </c>
      <c r="K43" s="696">
        <f>-83.707-7.106</f>
        <v>-90.812999999999988</v>
      </c>
      <c r="L43" s="694">
        <f>SUM(I43:K43)</f>
        <v>3928.3719999999998</v>
      </c>
      <c r="M43" s="695"/>
    </row>
    <row r="44" spans="1:14" ht="13">
      <c r="A44" s="23" t="s">
        <v>409</v>
      </c>
      <c r="B44" s="190" t="s">
        <v>410</v>
      </c>
      <c r="C44" s="174"/>
      <c r="D44" s="174" t="s">
        <v>80</v>
      </c>
      <c r="E44" s="174" t="s">
        <v>237</v>
      </c>
      <c r="F44" s="694">
        <f>+'M5'!H44</f>
        <v>279.21499999999997</v>
      </c>
      <c r="G44" s="177"/>
      <c r="H44" s="177"/>
      <c r="I44" s="694">
        <f>SUM(F44:H44)</f>
        <v>279.21499999999997</v>
      </c>
      <c r="J44" s="177"/>
      <c r="K44" s="177">
        <v>-42.7</v>
      </c>
      <c r="L44" s="694">
        <f>SUM(I44:K44)</f>
        <v>236.51499999999999</v>
      </c>
      <c r="M44" s="695"/>
    </row>
    <row r="45" spans="1:14" ht="13">
      <c r="A45" s="23" t="s">
        <v>411</v>
      </c>
      <c r="B45" s="190" t="s">
        <v>412</v>
      </c>
      <c r="C45" s="174" t="s">
        <v>413</v>
      </c>
      <c r="D45" s="174" t="s">
        <v>80</v>
      </c>
      <c r="E45" s="174" t="s">
        <v>237</v>
      </c>
      <c r="F45" s="694">
        <f>+'M5'!H45</f>
        <v>1443.3130000000001</v>
      </c>
      <c r="G45" s="177">
        <v>87.468000000000004</v>
      </c>
      <c r="H45" s="177">
        <v>1.823</v>
      </c>
      <c r="I45" s="694">
        <f>SUM(F45:H45)</f>
        <v>1532.6040000000003</v>
      </c>
      <c r="J45" s="696">
        <f>6.466+64.526+16.116</f>
        <v>87.10799999999999</v>
      </c>
      <c r="K45" s="177">
        <f>12.245-1.823-16.116</f>
        <v>-5.6940000000000008</v>
      </c>
      <c r="L45" s="694">
        <f>SUM(I45:K45)</f>
        <v>1614.0180000000003</v>
      </c>
      <c r="M45" s="695"/>
    </row>
    <row r="46" spans="1:14" ht="13">
      <c r="A46" s="285" t="s">
        <v>414</v>
      </c>
      <c r="B46" s="190" t="s">
        <v>226</v>
      </c>
      <c r="C46" s="174" t="s">
        <v>415</v>
      </c>
      <c r="D46" s="174" t="s">
        <v>80</v>
      </c>
      <c r="E46" s="174" t="s">
        <v>100</v>
      </c>
      <c r="F46" s="694">
        <f>+'M5'!H46</f>
        <v>133.43</v>
      </c>
      <c r="G46" s="696"/>
      <c r="H46" s="696"/>
      <c r="I46" s="694">
        <f>SUM(F46:H46)</f>
        <v>133.43</v>
      </c>
      <c r="J46" s="696">
        <v>-7.3029999999999999</v>
      </c>
      <c r="K46" s="696"/>
      <c r="L46" s="694">
        <f>SUM(I46:K46)</f>
        <v>126.12700000000001</v>
      </c>
      <c r="M46" s="695"/>
    </row>
    <row r="47" spans="1:14" ht="12.75" customHeight="1">
      <c r="A47" s="285" t="s">
        <v>416</v>
      </c>
      <c r="B47" s="51" t="s">
        <v>417</v>
      </c>
      <c r="C47" s="174" t="s">
        <v>418</v>
      </c>
      <c r="D47" s="174" t="s">
        <v>80</v>
      </c>
      <c r="E47" s="174" t="s">
        <v>100</v>
      </c>
      <c r="F47" s="183">
        <f t="shared" ref="F47:L47" si="7">SUM(F43:F46)</f>
        <v>5784.33</v>
      </c>
      <c r="G47" s="183">
        <f t="shared" si="7"/>
        <v>98.968000000000004</v>
      </c>
      <c r="H47" s="183">
        <f t="shared" si="7"/>
        <v>1.823</v>
      </c>
      <c r="I47" s="183">
        <f t="shared" si="7"/>
        <v>5885.1210000000001</v>
      </c>
      <c r="J47" s="183">
        <f t="shared" si="7"/>
        <v>159.11799999999999</v>
      </c>
      <c r="K47" s="183">
        <f t="shared" si="7"/>
        <v>-139.20699999999997</v>
      </c>
      <c r="L47" s="183">
        <f t="shared" si="7"/>
        <v>5905.0320000000002</v>
      </c>
      <c r="M47" s="695"/>
    </row>
    <row r="48" spans="1:14" ht="13">
      <c r="A48" s="66"/>
      <c r="B48" s="19"/>
      <c r="C48" s="19"/>
      <c r="D48" s="19"/>
      <c r="E48" s="19"/>
      <c r="M48" s="693"/>
    </row>
  </sheetData>
  <mergeCells count="1">
    <mergeCell ref="F6:L6"/>
  </mergeCells>
  <pageMargins left="0.74803149606299213" right="0.74803149606299213" top="0.39" bottom="0.49" header="0.26" footer="0.27"/>
  <pageSetup paperSize="9" scale="76" orientation="landscape" r:id="rId1"/>
  <headerFooter alignWithMargins="0">
    <oddFooter>&amp;RRegulatory Accounts - M tables 2010-11 v1.2&amp;L&amp;1#&amp;"Arial"&amp;11&amp;K000000SW Internal Commercial</oddFooter>
  </headerFooter>
  <colBreaks count="1" manualBreakCount="1">
    <brk id="8" max="58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pageSetUpPr fitToPage="1"/>
  </sheetPr>
  <dimension ref="A2:H500"/>
  <sheetViews>
    <sheetView zoomScaleNormal="100" zoomScaleSheetLayoutView="100" workbookViewId="0">
      <selection activeCell="G6" sqref="G6:G25"/>
    </sheetView>
  </sheetViews>
  <sheetFormatPr defaultColWidth="8.81640625" defaultRowHeight="12.5"/>
  <cols>
    <col min="1" max="1" width="20.7265625" style="201" customWidth="1"/>
    <col min="2" max="4" width="15.7265625" style="210" customWidth="1"/>
    <col min="5" max="6" width="25.7265625" style="210" customWidth="1"/>
    <col min="7" max="8" width="25.7265625" style="204" customWidth="1"/>
    <col min="9" max="16384" width="8.81640625" style="204"/>
  </cols>
  <sheetData>
    <row r="2" spans="1:8" ht="15.5">
      <c r="A2" s="499" t="s">
        <v>64</v>
      </c>
    </row>
    <row r="3" spans="1:8" ht="15.5">
      <c r="A3" s="507" t="str">
        <f xml:space="preserve"> "Table 30: Inventory of loans with full principal repayment at maturity (loans matured in " &amp;  reportyear &amp; " and loans maturing after 31 March 2020)"</f>
        <v>Table 30: Inventory of loans with full principal repayment at maturity (loans matured in 2019-20 and loans maturing after 31 March 2020)</v>
      </c>
    </row>
    <row r="4" spans="1:8" ht="15.5">
      <c r="A4" s="500"/>
      <c r="F4" s="501"/>
      <c r="G4" s="501"/>
      <c r="H4" s="501"/>
    </row>
    <row r="5" spans="1:8" ht="13">
      <c r="A5" s="502" t="s">
        <v>1033</v>
      </c>
      <c r="B5" s="503" t="s">
        <v>1034</v>
      </c>
      <c r="C5" s="503" t="s">
        <v>1035</v>
      </c>
      <c r="D5" s="503" t="s">
        <v>1036</v>
      </c>
      <c r="E5" s="503" t="s">
        <v>1037</v>
      </c>
      <c r="F5" s="514" t="s">
        <v>1038</v>
      </c>
      <c r="G5" s="514" t="s">
        <v>1039</v>
      </c>
      <c r="H5" s="514" t="s">
        <v>1040</v>
      </c>
    </row>
    <row r="6" spans="1:8">
      <c r="A6" s="219">
        <v>1116</v>
      </c>
      <c r="B6" s="218" t="s">
        <v>1041</v>
      </c>
      <c r="C6" s="218" t="s">
        <v>1042</v>
      </c>
      <c r="D6" s="559">
        <v>8.1890410958904116</v>
      </c>
      <c r="E6" s="543">
        <v>40567</v>
      </c>
      <c r="F6" s="558">
        <v>43556</v>
      </c>
      <c r="G6" s="557">
        <v>15000000</v>
      </c>
      <c r="H6" s="554">
        <v>3.66</v>
      </c>
    </row>
    <row r="7" spans="1:8">
      <c r="A7" s="219">
        <v>1123</v>
      </c>
      <c r="B7" s="218" t="s">
        <v>1041</v>
      </c>
      <c r="C7" s="218" t="s">
        <v>1042</v>
      </c>
      <c r="D7" s="559">
        <v>8.0849315068493155</v>
      </c>
      <c r="E7" s="543">
        <v>40605</v>
      </c>
      <c r="F7" s="558">
        <v>43556</v>
      </c>
      <c r="G7" s="557">
        <v>15000000</v>
      </c>
      <c r="H7" s="554">
        <v>3.65</v>
      </c>
    </row>
    <row r="8" spans="1:8">
      <c r="A8" s="549">
        <v>7000464809</v>
      </c>
      <c r="B8" s="218" t="s">
        <v>1043</v>
      </c>
      <c r="C8" s="218" t="s">
        <v>1044</v>
      </c>
      <c r="D8" s="559">
        <v>30.843835616438355</v>
      </c>
      <c r="E8" s="543">
        <v>32302</v>
      </c>
      <c r="F8" s="558">
        <v>43560</v>
      </c>
      <c r="G8" s="557">
        <v>1090452.3500000001</v>
      </c>
      <c r="H8" s="554">
        <v>9.375</v>
      </c>
    </row>
    <row r="9" spans="1:8">
      <c r="A9" s="549">
        <v>7000466638</v>
      </c>
      <c r="B9" s="218" t="s">
        <v>1043</v>
      </c>
      <c r="C9" s="218" t="s">
        <v>1044</v>
      </c>
      <c r="D9" s="559">
        <v>29.986301369863014</v>
      </c>
      <c r="E9" s="543">
        <v>32615</v>
      </c>
      <c r="F9" s="558">
        <v>43560</v>
      </c>
      <c r="G9" s="557">
        <v>144209.46</v>
      </c>
      <c r="H9" s="554">
        <v>9.5</v>
      </c>
    </row>
    <row r="10" spans="1:8">
      <c r="A10" s="549">
        <v>7000467029</v>
      </c>
      <c r="B10" s="218" t="s">
        <v>1043</v>
      </c>
      <c r="C10" s="218" t="s">
        <v>1044</v>
      </c>
      <c r="D10" s="559">
        <v>29.786301369863015</v>
      </c>
      <c r="E10" s="543">
        <v>32688</v>
      </c>
      <c r="F10" s="558">
        <v>43560</v>
      </c>
      <c r="G10" s="557">
        <v>1479647.52</v>
      </c>
      <c r="H10" s="554">
        <v>9.75</v>
      </c>
    </row>
    <row r="11" spans="1:8">
      <c r="A11" s="549">
        <v>7000470744</v>
      </c>
      <c r="B11" s="218" t="s">
        <v>1043</v>
      </c>
      <c r="C11" s="218" t="s">
        <v>1044</v>
      </c>
      <c r="D11" s="559">
        <v>27.090410958904108</v>
      </c>
      <c r="E11" s="543">
        <v>33672</v>
      </c>
      <c r="F11" s="558">
        <v>43560</v>
      </c>
      <c r="G11" s="557">
        <v>68349.22</v>
      </c>
      <c r="H11" s="554">
        <v>10.25</v>
      </c>
    </row>
    <row r="12" spans="1:8">
      <c r="A12" s="219">
        <v>1088</v>
      </c>
      <c r="B12" s="218" t="s">
        <v>1041</v>
      </c>
      <c r="C12" s="218" t="s">
        <v>1042</v>
      </c>
      <c r="D12" s="559">
        <v>10.254794520547945</v>
      </c>
      <c r="E12" s="543">
        <v>39883</v>
      </c>
      <c r="F12" s="558">
        <v>43626</v>
      </c>
      <c r="G12" s="557">
        <v>20000000</v>
      </c>
      <c r="H12" s="554">
        <v>3.39</v>
      </c>
    </row>
    <row r="13" spans="1:8">
      <c r="A13" s="219">
        <v>710005</v>
      </c>
      <c r="B13" s="218" t="s">
        <v>1041</v>
      </c>
      <c r="C13" s="218" t="s">
        <v>1044</v>
      </c>
      <c r="D13" s="559">
        <v>19.010958904109589</v>
      </c>
      <c r="E13" s="543">
        <v>36696</v>
      </c>
      <c r="F13" s="558">
        <v>43635</v>
      </c>
      <c r="G13" s="557">
        <v>10000000</v>
      </c>
      <c r="H13" s="554">
        <v>4.875</v>
      </c>
    </row>
    <row r="14" spans="1:8">
      <c r="A14" s="219">
        <v>1112</v>
      </c>
      <c r="B14" s="218" t="s">
        <v>1041</v>
      </c>
      <c r="C14" s="218" t="s">
        <v>1042</v>
      </c>
      <c r="D14" s="559">
        <v>8.9369863013698634</v>
      </c>
      <c r="E14" s="543">
        <v>40382</v>
      </c>
      <c r="F14" s="558">
        <v>43644</v>
      </c>
      <c r="G14" s="557">
        <v>10000000</v>
      </c>
      <c r="H14" s="554">
        <v>3.39</v>
      </c>
    </row>
    <row r="15" spans="1:8">
      <c r="A15" s="219">
        <v>4000013</v>
      </c>
      <c r="B15" s="218" t="s">
        <v>1041</v>
      </c>
      <c r="C15" s="218" t="s">
        <v>1045</v>
      </c>
      <c r="D15" s="559">
        <v>19.010958904109589</v>
      </c>
      <c r="E15" s="543">
        <v>36777</v>
      </c>
      <c r="F15" s="558">
        <v>43716</v>
      </c>
      <c r="G15" s="557">
        <v>10000000</v>
      </c>
      <c r="H15" s="554">
        <v>5</v>
      </c>
    </row>
    <row r="16" spans="1:8">
      <c r="A16" s="549">
        <v>7000454855</v>
      </c>
      <c r="B16" s="218" t="s">
        <v>1043</v>
      </c>
      <c r="C16" s="218" t="s">
        <v>1044</v>
      </c>
      <c r="D16" s="559">
        <v>34.989041095890414</v>
      </c>
      <c r="E16" s="543">
        <v>30972</v>
      </c>
      <c r="F16" s="558">
        <v>43743</v>
      </c>
      <c r="G16" s="557">
        <v>2065953.87</v>
      </c>
      <c r="H16" s="554">
        <v>10.5</v>
      </c>
    </row>
    <row r="17" spans="1:8">
      <c r="A17" s="549">
        <v>7000466776</v>
      </c>
      <c r="B17" s="218" t="s">
        <v>1043</v>
      </c>
      <c r="C17" s="218" t="s">
        <v>1044</v>
      </c>
      <c r="D17" s="559">
        <v>30.391780821917809</v>
      </c>
      <c r="E17" s="543">
        <v>32650</v>
      </c>
      <c r="F17" s="558">
        <v>43743</v>
      </c>
      <c r="G17" s="557">
        <v>438818.68</v>
      </c>
      <c r="H17" s="554">
        <v>9.375</v>
      </c>
    </row>
    <row r="18" spans="1:8">
      <c r="A18" s="549">
        <v>7000466987</v>
      </c>
      <c r="B18" s="218" t="s">
        <v>1043</v>
      </c>
      <c r="C18" s="218" t="s">
        <v>1044</v>
      </c>
      <c r="D18" s="559">
        <v>30.326027397260273</v>
      </c>
      <c r="E18" s="543">
        <v>32674</v>
      </c>
      <c r="F18" s="558">
        <v>43743</v>
      </c>
      <c r="G18" s="557">
        <v>2466079.19</v>
      </c>
      <c r="H18" s="554">
        <v>9.875</v>
      </c>
    </row>
    <row r="19" spans="1:8">
      <c r="A19" s="549">
        <v>7000466992</v>
      </c>
      <c r="B19" s="218" t="s">
        <v>1043</v>
      </c>
      <c r="C19" s="218" t="s">
        <v>1044</v>
      </c>
      <c r="D19" s="559">
        <v>30.323287671232876</v>
      </c>
      <c r="E19" s="543">
        <v>32675</v>
      </c>
      <c r="F19" s="558">
        <v>43743</v>
      </c>
      <c r="G19" s="557">
        <v>1972863.35</v>
      </c>
      <c r="H19" s="554">
        <v>10</v>
      </c>
    </row>
    <row r="20" spans="1:8">
      <c r="A20" s="549">
        <v>7000470600</v>
      </c>
      <c r="B20" s="218" t="s">
        <v>1043</v>
      </c>
      <c r="C20" s="218" t="s">
        <v>1044</v>
      </c>
      <c r="D20" s="559">
        <v>27.81095890410959</v>
      </c>
      <c r="E20" s="543">
        <v>33592</v>
      </c>
      <c r="F20" s="558">
        <v>43743</v>
      </c>
      <c r="G20" s="557">
        <v>197866.9</v>
      </c>
      <c r="H20" s="554">
        <v>10.375</v>
      </c>
    </row>
    <row r="21" spans="1:8">
      <c r="A21" s="549">
        <v>7000471154</v>
      </c>
      <c r="B21" s="218" t="s">
        <v>1043</v>
      </c>
      <c r="C21" s="218" t="s">
        <v>1044</v>
      </c>
      <c r="D21" s="559">
        <v>27.531506849315068</v>
      </c>
      <c r="E21" s="543">
        <v>33694</v>
      </c>
      <c r="F21" s="558">
        <v>43743</v>
      </c>
      <c r="G21" s="557">
        <v>128746.89</v>
      </c>
      <c r="H21" s="554">
        <v>10.625</v>
      </c>
    </row>
    <row r="22" spans="1:8">
      <c r="A22" s="219">
        <v>1900000180</v>
      </c>
      <c r="B22" s="218" t="s">
        <v>1041</v>
      </c>
      <c r="C22" s="218" t="s">
        <v>1046</v>
      </c>
      <c r="D22" s="559">
        <v>19.013698630136986</v>
      </c>
      <c r="E22" s="543">
        <v>36966</v>
      </c>
      <c r="F22" s="558">
        <v>43906</v>
      </c>
      <c r="G22" s="557">
        <v>7500000</v>
      </c>
      <c r="H22" s="554">
        <v>4.875</v>
      </c>
    </row>
    <row r="23" spans="1:8">
      <c r="A23" s="552">
        <v>900002431</v>
      </c>
      <c r="B23" s="218" t="s">
        <v>1047</v>
      </c>
      <c r="C23" s="218" t="s">
        <v>1046</v>
      </c>
      <c r="D23" s="559">
        <v>23.016438356164382</v>
      </c>
      <c r="E23" s="543">
        <v>35506</v>
      </c>
      <c r="F23" s="555">
        <v>43907</v>
      </c>
      <c r="G23" s="557">
        <v>12000000</v>
      </c>
      <c r="H23" s="551">
        <v>7.5</v>
      </c>
    </row>
    <row r="24" spans="1:8">
      <c r="A24" s="552">
        <v>1002436</v>
      </c>
      <c r="B24" s="218" t="s">
        <v>1047</v>
      </c>
      <c r="C24" s="218" t="s">
        <v>1045</v>
      </c>
      <c r="D24" s="559">
        <v>23.016438356164382</v>
      </c>
      <c r="E24" s="543">
        <v>35506</v>
      </c>
      <c r="F24" s="555">
        <v>43907</v>
      </c>
      <c r="G24" s="557">
        <v>15000000</v>
      </c>
      <c r="H24" s="551">
        <v>7.5</v>
      </c>
    </row>
    <row r="25" spans="1:8">
      <c r="A25" s="219">
        <v>720236</v>
      </c>
      <c r="B25" s="504" t="s">
        <v>1048</v>
      </c>
      <c r="C25" s="218" t="s">
        <v>1044</v>
      </c>
      <c r="D25" s="559">
        <v>25.019178082191782</v>
      </c>
      <c r="E25" s="543">
        <v>34788</v>
      </c>
      <c r="F25" s="547">
        <v>43920</v>
      </c>
      <c r="G25" s="557">
        <v>500000</v>
      </c>
      <c r="H25" s="554">
        <v>8.25</v>
      </c>
    </row>
    <row r="26" spans="1:8">
      <c r="A26" s="219">
        <v>1134</v>
      </c>
      <c r="B26" s="218" t="s">
        <v>1041</v>
      </c>
      <c r="C26" s="218" t="s">
        <v>1042</v>
      </c>
      <c r="D26" s="559">
        <v>7.1123287671232873</v>
      </c>
      <c r="E26" s="543">
        <v>41327</v>
      </c>
      <c r="F26" s="558">
        <v>43923</v>
      </c>
      <c r="G26" s="557">
        <v>20000000</v>
      </c>
      <c r="H26" s="554">
        <v>1.87</v>
      </c>
    </row>
    <row r="27" spans="1:8" ht="15" customHeight="1">
      <c r="A27" s="549">
        <v>7000466920</v>
      </c>
      <c r="B27" s="218" t="s">
        <v>1043</v>
      </c>
      <c r="C27" s="218" t="s">
        <v>1044</v>
      </c>
      <c r="D27" s="559">
        <v>30.846575342465755</v>
      </c>
      <c r="E27" s="543">
        <v>32667</v>
      </c>
      <c r="F27" s="558">
        <v>43926</v>
      </c>
      <c r="G27" s="557">
        <v>1593437.88</v>
      </c>
      <c r="H27" s="554">
        <v>9.75</v>
      </c>
    </row>
    <row r="28" spans="1:8" ht="15" customHeight="1">
      <c r="A28" s="549">
        <v>7000467052</v>
      </c>
      <c r="B28" s="218" t="s">
        <v>1043</v>
      </c>
      <c r="C28" s="218" t="s">
        <v>1044</v>
      </c>
      <c r="D28" s="559">
        <v>30.767123287671232</v>
      </c>
      <c r="E28" s="543">
        <v>32696</v>
      </c>
      <c r="F28" s="558">
        <v>43926</v>
      </c>
      <c r="G28" s="557">
        <v>292545.78999999998</v>
      </c>
      <c r="H28" s="554">
        <v>9.625</v>
      </c>
    </row>
    <row r="29" spans="1:8" ht="15" customHeight="1">
      <c r="A29" s="549">
        <v>7000467993</v>
      </c>
      <c r="B29" s="218" t="s">
        <v>1043</v>
      </c>
      <c r="C29" s="218" t="s">
        <v>1044</v>
      </c>
      <c r="D29" s="559">
        <v>30.210958904109589</v>
      </c>
      <c r="E29" s="543">
        <v>32899</v>
      </c>
      <c r="F29" s="558">
        <v>43926</v>
      </c>
      <c r="G29" s="557">
        <v>937110.09</v>
      </c>
      <c r="H29" s="554">
        <v>10.5</v>
      </c>
    </row>
    <row r="30" spans="1:8" ht="15" customHeight="1">
      <c r="A30" s="549">
        <v>7000470742</v>
      </c>
      <c r="B30" s="218" t="s">
        <v>1043</v>
      </c>
      <c r="C30" s="218" t="s">
        <v>1044</v>
      </c>
      <c r="D30" s="559">
        <v>28.2</v>
      </c>
      <c r="E30" s="543">
        <v>33633</v>
      </c>
      <c r="F30" s="558">
        <v>43926</v>
      </c>
      <c r="G30" s="557">
        <v>102523.83</v>
      </c>
      <c r="H30" s="554">
        <v>10.25</v>
      </c>
    </row>
    <row r="31" spans="1:8">
      <c r="A31" s="219">
        <v>1090</v>
      </c>
      <c r="B31" s="218" t="s">
        <v>1041</v>
      </c>
      <c r="C31" s="218" t="s">
        <v>1042</v>
      </c>
      <c r="D31" s="559">
        <v>11.038356164383561</v>
      </c>
      <c r="E31" s="543">
        <v>39902</v>
      </c>
      <c r="F31" s="558">
        <v>43931</v>
      </c>
      <c r="G31" s="557">
        <v>23600000</v>
      </c>
      <c r="H31" s="554">
        <v>3.37</v>
      </c>
    </row>
    <row r="32" spans="1:8">
      <c r="A32" s="219">
        <v>1124</v>
      </c>
      <c r="B32" s="218" t="s">
        <v>1041</v>
      </c>
      <c r="C32" s="218" t="s">
        <v>1042</v>
      </c>
      <c r="D32" s="559">
        <v>9.0931506849315067</v>
      </c>
      <c r="E32" s="543">
        <v>40612</v>
      </c>
      <c r="F32" s="558">
        <v>43931</v>
      </c>
      <c r="G32" s="557">
        <v>15000000</v>
      </c>
      <c r="H32" s="554">
        <v>3.85</v>
      </c>
    </row>
    <row r="33" spans="1:8">
      <c r="A33" s="552">
        <v>1002455</v>
      </c>
      <c r="B33" s="218" t="s">
        <v>1047</v>
      </c>
      <c r="C33" s="218" t="s">
        <v>1045</v>
      </c>
      <c r="D33" s="559">
        <v>23.016438356164382</v>
      </c>
      <c r="E33" s="543">
        <v>35536</v>
      </c>
      <c r="F33" s="555">
        <v>43937</v>
      </c>
      <c r="G33" s="557">
        <v>10000000</v>
      </c>
      <c r="H33" s="551">
        <v>7.875</v>
      </c>
    </row>
    <row r="34" spans="1:8">
      <c r="A34" s="219">
        <v>710006</v>
      </c>
      <c r="B34" s="218" t="s">
        <v>1041</v>
      </c>
      <c r="C34" s="218" t="s">
        <v>1044</v>
      </c>
      <c r="D34" s="559">
        <v>20.013698630136986</v>
      </c>
      <c r="E34" s="543">
        <v>36696</v>
      </c>
      <c r="F34" s="558">
        <v>44001</v>
      </c>
      <c r="G34" s="557">
        <v>5000000</v>
      </c>
      <c r="H34" s="554">
        <v>4.875</v>
      </c>
    </row>
    <row r="35" spans="1:8">
      <c r="A35" s="219">
        <v>710007</v>
      </c>
      <c r="B35" s="218" t="s">
        <v>1041</v>
      </c>
      <c r="C35" s="218" t="s">
        <v>1044</v>
      </c>
      <c r="D35" s="559">
        <v>20.013698630136986</v>
      </c>
      <c r="E35" s="543">
        <v>36703</v>
      </c>
      <c r="F35" s="558">
        <v>44008</v>
      </c>
      <c r="G35" s="557">
        <v>5000000</v>
      </c>
      <c r="H35" s="554">
        <v>4.875</v>
      </c>
    </row>
    <row r="36" spans="1:8">
      <c r="A36" s="219">
        <v>710009</v>
      </c>
      <c r="B36" s="218" t="s">
        <v>1041</v>
      </c>
      <c r="C36" s="218" t="s">
        <v>1044</v>
      </c>
      <c r="D36" s="559">
        <v>20.013698630136986</v>
      </c>
      <c r="E36" s="543">
        <v>36732</v>
      </c>
      <c r="F36" s="558">
        <v>44037</v>
      </c>
      <c r="G36" s="557">
        <v>14000000</v>
      </c>
      <c r="H36" s="554">
        <v>5</v>
      </c>
    </row>
    <row r="37" spans="1:8">
      <c r="A37" s="219">
        <v>720205</v>
      </c>
      <c r="B37" s="504" t="s">
        <v>1048</v>
      </c>
      <c r="C37" s="218" t="s">
        <v>1044</v>
      </c>
      <c r="D37" s="559">
        <v>35.024657534246572</v>
      </c>
      <c r="E37" s="543">
        <v>31301</v>
      </c>
      <c r="F37" s="547">
        <v>44085</v>
      </c>
      <c r="G37" s="557">
        <v>500000</v>
      </c>
      <c r="H37" s="554">
        <v>11.75</v>
      </c>
    </row>
    <row r="38" spans="1:8" ht="15" customHeight="1">
      <c r="A38" s="549">
        <v>7000449050</v>
      </c>
      <c r="B38" s="218" t="s">
        <v>1043</v>
      </c>
      <c r="C38" s="218" t="s">
        <v>1044</v>
      </c>
      <c r="D38" s="559">
        <v>39.556164383561644</v>
      </c>
      <c r="E38" s="543">
        <v>29671</v>
      </c>
      <c r="F38" s="558">
        <v>44109</v>
      </c>
      <c r="G38" s="557">
        <v>24866.39</v>
      </c>
      <c r="H38" s="554">
        <v>14</v>
      </c>
    </row>
    <row r="39" spans="1:8">
      <c r="A39" s="549">
        <v>7000464851</v>
      </c>
      <c r="B39" s="218" t="s">
        <v>1043</v>
      </c>
      <c r="C39" s="218" t="s">
        <v>1044</v>
      </c>
      <c r="D39" s="559">
        <v>32.315068493150683</v>
      </c>
      <c r="E39" s="543">
        <v>32314</v>
      </c>
      <c r="F39" s="558">
        <v>44109</v>
      </c>
      <c r="G39" s="557">
        <v>292545.78999999998</v>
      </c>
      <c r="H39" s="554">
        <v>9.375</v>
      </c>
    </row>
    <row r="40" spans="1:8">
      <c r="A40" s="549">
        <v>7000469155</v>
      </c>
      <c r="B40" s="218" t="s">
        <v>1043</v>
      </c>
      <c r="C40" s="218" t="s">
        <v>1044</v>
      </c>
      <c r="D40" s="559">
        <v>29.646575342465752</v>
      </c>
      <c r="E40" s="543">
        <v>33288</v>
      </c>
      <c r="F40" s="558">
        <v>44109</v>
      </c>
      <c r="G40" s="557">
        <v>292545.78999999998</v>
      </c>
      <c r="H40" s="554">
        <v>10.875</v>
      </c>
    </row>
    <row r="41" spans="1:8">
      <c r="A41" s="549">
        <v>7000470743</v>
      </c>
      <c r="B41" s="218" t="s">
        <v>1043</v>
      </c>
      <c r="C41" s="218" t="s">
        <v>1044</v>
      </c>
      <c r="D41" s="559">
        <v>28.594520547945205</v>
      </c>
      <c r="E41" s="543">
        <v>33672</v>
      </c>
      <c r="F41" s="558">
        <v>44109</v>
      </c>
      <c r="G41" s="557">
        <v>102523.83</v>
      </c>
      <c r="H41" s="554">
        <v>10.25</v>
      </c>
    </row>
    <row r="42" spans="1:8">
      <c r="A42" s="549">
        <v>9000449050</v>
      </c>
      <c r="B42" s="218" t="s">
        <v>1043</v>
      </c>
      <c r="C42" s="218" t="s">
        <v>1046</v>
      </c>
      <c r="D42" s="559">
        <v>39.583561643835615</v>
      </c>
      <c r="E42" s="547">
        <v>29671</v>
      </c>
      <c r="F42" s="558">
        <v>44119</v>
      </c>
      <c r="G42" s="557">
        <v>23470.86</v>
      </c>
      <c r="H42" s="554">
        <v>14</v>
      </c>
    </row>
    <row r="43" spans="1:8">
      <c r="A43" s="219">
        <v>1900000171</v>
      </c>
      <c r="B43" s="218" t="s">
        <v>1041</v>
      </c>
      <c r="C43" s="218" t="s">
        <v>1046</v>
      </c>
      <c r="D43" s="559">
        <v>20.016438356164382</v>
      </c>
      <c r="E43" s="543">
        <v>36922</v>
      </c>
      <c r="F43" s="558">
        <v>44228</v>
      </c>
      <c r="G43" s="557">
        <v>5000000</v>
      </c>
      <c r="H43" s="554">
        <v>4.75</v>
      </c>
    </row>
    <row r="44" spans="1:8">
      <c r="A44" s="219">
        <v>4000008</v>
      </c>
      <c r="B44" s="218" t="s">
        <v>1041</v>
      </c>
      <c r="C44" s="218" t="s">
        <v>1045</v>
      </c>
      <c r="D44" s="559">
        <v>21.013698630136986</v>
      </c>
      <c r="E44" s="543">
        <v>36595</v>
      </c>
      <c r="F44" s="558">
        <v>44265</v>
      </c>
      <c r="G44" s="557">
        <v>10000000</v>
      </c>
      <c r="H44" s="554">
        <v>5</v>
      </c>
    </row>
    <row r="45" spans="1:8">
      <c r="A45" s="552">
        <v>900002432</v>
      </c>
      <c r="B45" s="218" t="s">
        <v>1047</v>
      </c>
      <c r="C45" s="218" t="s">
        <v>1046</v>
      </c>
      <c r="D45" s="559">
        <v>24.016438356164382</v>
      </c>
      <c r="E45" s="543">
        <v>35506</v>
      </c>
      <c r="F45" s="555">
        <v>44272</v>
      </c>
      <c r="G45" s="557">
        <v>13000000</v>
      </c>
      <c r="H45" s="551">
        <v>7.5</v>
      </c>
    </row>
    <row r="46" spans="1:8">
      <c r="A46" s="552">
        <v>7000015</v>
      </c>
      <c r="B46" s="218" t="s">
        <v>1047</v>
      </c>
      <c r="C46" s="218" t="s">
        <v>1044</v>
      </c>
      <c r="D46" s="559">
        <v>24.016438356164382</v>
      </c>
      <c r="E46" s="556">
        <v>35513</v>
      </c>
      <c r="F46" s="555">
        <v>44279</v>
      </c>
      <c r="G46" s="557">
        <v>10000000</v>
      </c>
      <c r="H46" s="551">
        <v>7.75</v>
      </c>
    </row>
    <row r="47" spans="1:8">
      <c r="A47" s="219">
        <v>1133</v>
      </c>
      <c r="B47" s="218" t="s">
        <v>1041</v>
      </c>
      <c r="C47" s="218" t="s">
        <v>1042</v>
      </c>
      <c r="D47" s="559">
        <v>8.1150684931506856</v>
      </c>
      <c r="E47" s="543">
        <v>41325</v>
      </c>
      <c r="F47" s="558">
        <v>44287</v>
      </c>
      <c r="G47" s="557">
        <v>20000000</v>
      </c>
      <c r="H47" s="554">
        <v>2.06</v>
      </c>
    </row>
    <row r="48" spans="1:8" ht="15" customHeight="1">
      <c r="A48" s="549">
        <v>7000466921</v>
      </c>
      <c r="B48" s="218" t="s">
        <v>1043</v>
      </c>
      <c r="C48" s="218" t="s">
        <v>1044</v>
      </c>
      <c r="D48" s="559">
        <v>31.846575342465755</v>
      </c>
      <c r="E48" s="543">
        <v>32667</v>
      </c>
      <c r="F48" s="558">
        <v>44291</v>
      </c>
      <c r="G48" s="557">
        <v>75860.240000000005</v>
      </c>
      <c r="H48" s="554">
        <v>9.75</v>
      </c>
    </row>
    <row r="49" spans="1:8" ht="15" customHeight="1">
      <c r="A49" s="549">
        <v>7000467053</v>
      </c>
      <c r="B49" s="218" t="s">
        <v>1043</v>
      </c>
      <c r="C49" s="218" t="s">
        <v>1044</v>
      </c>
      <c r="D49" s="559">
        <v>31.767123287671232</v>
      </c>
      <c r="E49" s="543">
        <v>32696</v>
      </c>
      <c r="F49" s="558">
        <v>44291</v>
      </c>
      <c r="G49" s="557">
        <v>146272.89000000001</v>
      </c>
      <c r="H49" s="554">
        <v>9.625</v>
      </c>
    </row>
    <row r="50" spans="1:8">
      <c r="A50" s="549">
        <v>7000474661</v>
      </c>
      <c r="B50" s="218" t="s">
        <v>1043</v>
      </c>
      <c r="C50" s="218" t="s">
        <v>1044</v>
      </c>
      <c r="D50" s="559">
        <v>26.830136986301369</v>
      </c>
      <c r="E50" s="543">
        <v>34498</v>
      </c>
      <c r="F50" s="558">
        <v>44291</v>
      </c>
      <c r="G50" s="557">
        <v>1438738.26</v>
      </c>
      <c r="H50" s="554">
        <v>8.5</v>
      </c>
    </row>
    <row r="51" spans="1:8">
      <c r="A51" s="549">
        <v>9000474661</v>
      </c>
      <c r="B51" s="218" t="s">
        <v>1043</v>
      </c>
      <c r="C51" s="218" t="s">
        <v>1046</v>
      </c>
      <c r="D51" s="559">
        <v>26.682191780821917</v>
      </c>
      <c r="E51" s="547">
        <v>34562</v>
      </c>
      <c r="F51" s="558">
        <v>44301</v>
      </c>
      <c r="G51" s="557">
        <v>1357994.44</v>
      </c>
      <c r="H51" s="554">
        <v>8.5</v>
      </c>
    </row>
    <row r="52" spans="1:8">
      <c r="A52" s="552">
        <v>1002504</v>
      </c>
      <c r="B52" s="218" t="s">
        <v>1047</v>
      </c>
      <c r="C52" s="218" t="s">
        <v>1045</v>
      </c>
      <c r="D52" s="559">
        <v>23.016438356164382</v>
      </c>
      <c r="E52" s="543">
        <v>35941</v>
      </c>
      <c r="F52" s="555">
        <v>44342</v>
      </c>
      <c r="G52" s="557">
        <v>5000000</v>
      </c>
      <c r="H52" s="551">
        <v>5.875</v>
      </c>
    </row>
    <row r="53" spans="1:8">
      <c r="A53" s="549">
        <v>7000449561</v>
      </c>
      <c r="B53" s="218" t="s">
        <v>1043</v>
      </c>
      <c r="C53" s="218" t="s">
        <v>1044</v>
      </c>
      <c r="D53" s="559">
        <v>39.545205479452058</v>
      </c>
      <c r="E53" s="543">
        <v>30040</v>
      </c>
      <c r="F53" s="558">
        <v>44474</v>
      </c>
      <c r="G53" s="557">
        <v>80450.09</v>
      </c>
      <c r="H53" s="554">
        <v>13.625</v>
      </c>
    </row>
    <row r="54" spans="1:8" ht="15" customHeight="1">
      <c r="A54" s="549">
        <v>7000466630</v>
      </c>
      <c r="B54" s="218" t="s">
        <v>1043</v>
      </c>
      <c r="C54" s="218" t="s">
        <v>1044</v>
      </c>
      <c r="D54" s="559">
        <v>32.4986301369863</v>
      </c>
      <c r="E54" s="543">
        <v>32612</v>
      </c>
      <c r="F54" s="558">
        <v>44474</v>
      </c>
      <c r="G54" s="557">
        <v>292545.78999999998</v>
      </c>
      <c r="H54" s="554">
        <v>9.375</v>
      </c>
    </row>
    <row r="55" spans="1:8" ht="15" customHeight="1">
      <c r="A55" s="549">
        <v>9000449561</v>
      </c>
      <c r="B55" s="218" t="s">
        <v>1043</v>
      </c>
      <c r="C55" s="218" t="s">
        <v>1046</v>
      </c>
      <c r="D55" s="559">
        <v>39.56986301369863</v>
      </c>
      <c r="E55" s="547">
        <v>30041</v>
      </c>
      <c r="F55" s="558">
        <v>44484</v>
      </c>
      <c r="G55" s="557">
        <v>75935.13</v>
      </c>
      <c r="H55" s="554">
        <v>13.625</v>
      </c>
    </row>
    <row r="56" spans="1:8">
      <c r="A56" s="219">
        <v>4000016</v>
      </c>
      <c r="B56" s="218" t="s">
        <v>1041</v>
      </c>
      <c r="C56" s="218" t="s">
        <v>1045</v>
      </c>
      <c r="D56" s="559">
        <v>21.013698630136986</v>
      </c>
      <c r="E56" s="543">
        <v>36840</v>
      </c>
      <c r="F56" s="558">
        <v>44510</v>
      </c>
      <c r="G56" s="557">
        <v>5000000</v>
      </c>
      <c r="H56" s="554">
        <v>4.875</v>
      </c>
    </row>
    <row r="57" spans="1:8">
      <c r="A57" s="219">
        <v>4000017</v>
      </c>
      <c r="B57" s="218" t="s">
        <v>1041</v>
      </c>
      <c r="C57" s="218" t="s">
        <v>1045</v>
      </c>
      <c r="D57" s="559">
        <v>21.013698630136986</v>
      </c>
      <c r="E57" s="543">
        <v>36847</v>
      </c>
      <c r="F57" s="558">
        <v>44517</v>
      </c>
      <c r="G57" s="557">
        <v>5000000</v>
      </c>
      <c r="H57" s="554">
        <v>4.75</v>
      </c>
    </row>
    <row r="58" spans="1:8">
      <c r="A58" s="552">
        <v>7000002</v>
      </c>
      <c r="B58" s="218" t="s">
        <v>1047</v>
      </c>
      <c r="C58" s="218" t="s">
        <v>1044</v>
      </c>
      <c r="D58" s="559">
        <v>25.016438356164382</v>
      </c>
      <c r="E58" s="553">
        <v>35398</v>
      </c>
      <c r="F58" s="555">
        <v>44529</v>
      </c>
      <c r="G58" s="557">
        <v>10000000</v>
      </c>
      <c r="H58" s="551">
        <v>7.75</v>
      </c>
    </row>
    <row r="59" spans="1:8">
      <c r="A59" s="219">
        <v>4000018</v>
      </c>
      <c r="B59" s="218" t="s">
        <v>1041</v>
      </c>
      <c r="C59" s="218" t="s">
        <v>1045</v>
      </c>
      <c r="D59" s="559">
        <v>21.013698630136986</v>
      </c>
      <c r="E59" s="543">
        <v>36861</v>
      </c>
      <c r="F59" s="558">
        <v>44531</v>
      </c>
      <c r="G59" s="557">
        <v>10000000</v>
      </c>
      <c r="H59" s="554">
        <v>4.625</v>
      </c>
    </row>
    <row r="60" spans="1:8">
      <c r="A60" s="219">
        <v>4000019</v>
      </c>
      <c r="B60" s="218" t="s">
        <v>1041</v>
      </c>
      <c r="C60" s="218" t="s">
        <v>1045</v>
      </c>
      <c r="D60" s="559">
        <v>21.013698630136986</v>
      </c>
      <c r="E60" s="543">
        <v>36868</v>
      </c>
      <c r="F60" s="558">
        <v>44538</v>
      </c>
      <c r="G60" s="557">
        <v>5000000</v>
      </c>
      <c r="H60" s="554">
        <v>4.625</v>
      </c>
    </row>
    <row r="61" spans="1:8">
      <c r="A61" s="552">
        <v>7000003</v>
      </c>
      <c r="B61" s="218" t="s">
        <v>1047</v>
      </c>
      <c r="C61" s="218" t="s">
        <v>1044</v>
      </c>
      <c r="D61" s="559">
        <v>25.021917808219179</v>
      </c>
      <c r="E61" s="556">
        <v>35453</v>
      </c>
      <c r="F61" s="555">
        <v>44586</v>
      </c>
      <c r="G61" s="557">
        <v>10000000</v>
      </c>
      <c r="H61" s="551">
        <v>7.75</v>
      </c>
    </row>
    <row r="62" spans="1:8">
      <c r="A62" s="219">
        <v>1900000175</v>
      </c>
      <c r="B62" s="218" t="s">
        <v>1041</v>
      </c>
      <c r="C62" s="218" t="s">
        <v>1046</v>
      </c>
      <c r="D62" s="559">
        <v>21.013698630136986</v>
      </c>
      <c r="E62" s="543">
        <v>36950</v>
      </c>
      <c r="F62" s="558">
        <v>44620</v>
      </c>
      <c r="G62" s="557">
        <v>4000000</v>
      </c>
      <c r="H62" s="554">
        <v>4.75</v>
      </c>
    </row>
    <row r="63" spans="1:8" ht="12.75" customHeight="1">
      <c r="A63" s="552">
        <v>7000004</v>
      </c>
      <c r="B63" s="218" t="s">
        <v>1047</v>
      </c>
      <c r="C63" s="218" t="s">
        <v>1044</v>
      </c>
      <c r="D63" s="559">
        <v>25.016438356164382</v>
      </c>
      <c r="E63" s="556">
        <v>35496</v>
      </c>
      <c r="F63" s="555">
        <v>44627</v>
      </c>
      <c r="G63" s="557">
        <v>20000000</v>
      </c>
      <c r="H63" s="551">
        <v>7.5</v>
      </c>
    </row>
    <row r="64" spans="1:8" ht="12.75" customHeight="1">
      <c r="A64" s="219">
        <v>4000009</v>
      </c>
      <c r="B64" s="218" t="s">
        <v>1041</v>
      </c>
      <c r="C64" s="218" t="s">
        <v>1045</v>
      </c>
      <c r="D64" s="559">
        <v>22.013698630136986</v>
      </c>
      <c r="E64" s="543">
        <v>36595</v>
      </c>
      <c r="F64" s="558">
        <v>44630</v>
      </c>
      <c r="G64" s="557">
        <v>10000000</v>
      </c>
      <c r="H64" s="554">
        <v>5</v>
      </c>
    </row>
    <row r="65" spans="1:8" ht="12.75" customHeight="1">
      <c r="A65" s="219">
        <v>1900000077</v>
      </c>
      <c r="B65" s="218" t="s">
        <v>1041</v>
      </c>
      <c r="C65" s="218" t="s">
        <v>1046</v>
      </c>
      <c r="D65" s="559">
        <v>22.013698630136986</v>
      </c>
      <c r="E65" s="543">
        <v>36595</v>
      </c>
      <c r="F65" s="558">
        <v>44630</v>
      </c>
      <c r="G65" s="557">
        <v>4950000</v>
      </c>
      <c r="H65" s="554">
        <v>5</v>
      </c>
    </row>
    <row r="66" spans="1:8" ht="12.75" customHeight="1">
      <c r="A66" s="552">
        <v>1002410</v>
      </c>
      <c r="B66" s="218" t="s">
        <v>1047</v>
      </c>
      <c r="C66" s="218" t="s">
        <v>1045</v>
      </c>
      <c r="D66" s="559">
        <v>25.287671232876711</v>
      </c>
      <c r="E66" s="543">
        <v>35405</v>
      </c>
      <c r="F66" s="555">
        <v>44635</v>
      </c>
      <c r="G66" s="557">
        <v>5000000</v>
      </c>
      <c r="H66" s="551">
        <v>7.5</v>
      </c>
    </row>
    <row r="67" spans="1:8" ht="12.75" customHeight="1">
      <c r="A67" s="219">
        <v>1900000082</v>
      </c>
      <c r="B67" s="218" t="s">
        <v>1041</v>
      </c>
      <c r="C67" s="218" t="s">
        <v>1046</v>
      </c>
      <c r="D67" s="559">
        <v>22.013698630136986</v>
      </c>
      <c r="E67" s="543">
        <v>36613</v>
      </c>
      <c r="F67" s="558">
        <v>44648</v>
      </c>
      <c r="G67" s="557">
        <v>7269000</v>
      </c>
      <c r="H67" s="554">
        <v>4.875</v>
      </c>
    </row>
    <row r="68" spans="1:8" ht="12.75" customHeight="1">
      <c r="A68" s="219">
        <v>1132</v>
      </c>
      <c r="B68" s="218" t="s">
        <v>1041</v>
      </c>
      <c r="C68" s="218" t="s">
        <v>1042</v>
      </c>
      <c r="D68" s="559">
        <v>9.1534246575342468</v>
      </c>
      <c r="E68" s="543">
        <v>41311</v>
      </c>
      <c r="F68" s="558">
        <v>44652</v>
      </c>
      <c r="G68" s="557">
        <v>20000000</v>
      </c>
      <c r="H68" s="554">
        <v>2.2200000000000002</v>
      </c>
    </row>
    <row r="69" spans="1:8">
      <c r="A69" s="549">
        <v>7000467482</v>
      </c>
      <c r="B69" s="218" t="s">
        <v>1043</v>
      </c>
      <c r="C69" s="218" t="s">
        <v>1044</v>
      </c>
      <c r="D69" s="559">
        <v>32.575342465753423</v>
      </c>
      <c r="E69" s="543">
        <v>32766</v>
      </c>
      <c r="F69" s="558">
        <v>44656</v>
      </c>
      <c r="G69" s="557">
        <v>151720.48000000001</v>
      </c>
      <c r="H69" s="554">
        <v>9.5</v>
      </c>
    </row>
    <row r="70" spans="1:8">
      <c r="A70" s="549">
        <v>7000468484</v>
      </c>
      <c r="B70" s="218" t="s">
        <v>1043</v>
      </c>
      <c r="C70" s="218" t="s">
        <v>1044</v>
      </c>
      <c r="D70" s="559">
        <v>31.967123287671232</v>
      </c>
      <c r="E70" s="543">
        <v>32988</v>
      </c>
      <c r="F70" s="558">
        <v>44656</v>
      </c>
      <c r="G70" s="557">
        <v>438818.68</v>
      </c>
      <c r="H70" s="554">
        <v>11.75</v>
      </c>
    </row>
    <row r="71" spans="1:8">
      <c r="A71" s="549">
        <v>7000474528</v>
      </c>
      <c r="B71" s="218" t="s">
        <v>1043</v>
      </c>
      <c r="C71" s="218" t="s">
        <v>1044</v>
      </c>
      <c r="D71" s="559">
        <v>30.032876712328768</v>
      </c>
      <c r="E71" s="543">
        <v>33694</v>
      </c>
      <c r="F71" s="558">
        <v>44656</v>
      </c>
      <c r="G71" s="557">
        <v>2044777.21</v>
      </c>
      <c r="H71" s="554">
        <v>8.5</v>
      </c>
    </row>
    <row r="72" spans="1:8">
      <c r="A72" s="549">
        <v>9000474528</v>
      </c>
      <c r="B72" s="218" t="s">
        <v>1043</v>
      </c>
      <c r="C72" s="218" t="s">
        <v>1046</v>
      </c>
      <c r="D72" s="559">
        <v>27.857534246575341</v>
      </c>
      <c r="E72" s="547">
        <v>34498</v>
      </c>
      <c r="F72" s="558">
        <v>44666</v>
      </c>
      <c r="G72" s="557">
        <v>1930021.73</v>
      </c>
      <c r="H72" s="554">
        <v>8.5</v>
      </c>
    </row>
    <row r="73" spans="1:8" ht="12.75" customHeight="1">
      <c r="A73" s="219">
        <v>1900000211</v>
      </c>
      <c r="B73" s="218" t="s">
        <v>1041</v>
      </c>
      <c r="C73" s="218" t="s">
        <v>1046</v>
      </c>
      <c r="D73" s="559">
        <v>20.986301369863014</v>
      </c>
      <c r="E73" s="543">
        <v>37067</v>
      </c>
      <c r="F73" s="558">
        <v>44727</v>
      </c>
      <c r="G73" s="557">
        <v>5000000</v>
      </c>
      <c r="H73" s="554">
        <v>5.25</v>
      </c>
    </row>
    <row r="74" spans="1:8" ht="12.75" customHeight="1">
      <c r="A74" s="219">
        <v>710016</v>
      </c>
      <c r="B74" s="218" t="s">
        <v>1041</v>
      </c>
      <c r="C74" s="218" t="s">
        <v>1044</v>
      </c>
      <c r="D74" s="559">
        <v>20.980821917808218</v>
      </c>
      <c r="E74" s="543">
        <v>37109</v>
      </c>
      <c r="F74" s="558">
        <v>44767</v>
      </c>
      <c r="G74" s="557">
        <v>15000000</v>
      </c>
      <c r="H74" s="554">
        <v>5.125</v>
      </c>
    </row>
    <row r="75" spans="1:8" ht="12.75" customHeight="1">
      <c r="A75" s="552">
        <v>1002468</v>
      </c>
      <c r="B75" s="218" t="s">
        <v>1047</v>
      </c>
      <c r="C75" s="218" t="s">
        <v>1045</v>
      </c>
      <c r="D75" s="559">
        <v>25.142465753424659</v>
      </c>
      <c r="E75" s="543">
        <v>35642</v>
      </c>
      <c r="F75" s="555">
        <v>44819</v>
      </c>
      <c r="G75" s="557">
        <v>20000000</v>
      </c>
      <c r="H75" s="551">
        <v>6.875</v>
      </c>
    </row>
    <row r="76" spans="1:8">
      <c r="A76" s="549">
        <v>7000450549</v>
      </c>
      <c r="B76" s="218" t="s">
        <v>1043</v>
      </c>
      <c r="C76" s="218" t="s">
        <v>1044</v>
      </c>
      <c r="D76" s="559">
        <v>39.991780821917807</v>
      </c>
      <c r="E76" s="543">
        <v>30242</v>
      </c>
      <c r="F76" s="558">
        <v>44839</v>
      </c>
      <c r="G76" s="557">
        <v>139635.79</v>
      </c>
      <c r="H76" s="554">
        <v>10.5</v>
      </c>
    </row>
    <row r="77" spans="1:8">
      <c r="A77" s="549">
        <v>7000466752</v>
      </c>
      <c r="B77" s="218" t="s">
        <v>1043</v>
      </c>
      <c r="C77" s="218" t="s">
        <v>1044</v>
      </c>
      <c r="D77" s="559">
        <v>33.413698630136984</v>
      </c>
      <c r="E77" s="543">
        <v>32643</v>
      </c>
      <c r="F77" s="558">
        <v>44839</v>
      </c>
      <c r="G77" s="557">
        <v>438818.68</v>
      </c>
      <c r="H77" s="554">
        <v>9.375</v>
      </c>
    </row>
    <row r="78" spans="1:8">
      <c r="A78" s="549">
        <v>7000468606</v>
      </c>
      <c r="B78" s="218" t="s">
        <v>1043</v>
      </c>
      <c r="C78" s="218" t="s">
        <v>1044</v>
      </c>
      <c r="D78" s="559">
        <v>32.279452054794518</v>
      </c>
      <c r="E78" s="543">
        <v>33057</v>
      </c>
      <c r="F78" s="558">
        <v>44839</v>
      </c>
      <c r="G78" s="557">
        <v>438818.68</v>
      </c>
      <c r="H78" s="554">
        <v>10.875</v>
      </c>
    </row>
    <row r="79" spans="1:8" ht="12.75" customHeight="1">
      <c r="A79" s="219">
        <v>4000014</v>
      </c>
      <c r="B79" s="218" t="s">
        <v>1041</v>
      </c>
      <c r="C79" s="218" t="s">
        <v>1045</v>
      </c>
      <c r="D79" s="559">
        <v>22.013698630136986</v>
      </c>
      <c r="E79" s="543">
        <v>36805</v>
      </c>
      <c r="F79" s="558">
        <v>44840</v>
      </c>
      <c r="G79" s="557">
        <v>10000000</v>
      </c>
      <c r="H79" s="554">
        <v>5</v>
      </c>
    </row>
    <row r="80" spans="1:8" ht="12.75" customHeight="1">
      <c r="A80" s="219">
        <v>1900000140</v>
      </c>
      <c r="B80" s="218" t="s">
        <v>1041</v>
      </c>
      <c r="C80" s="218" t="s">
        <v>1046</v>
      </c>
      <c r="D80" s="559">
        <v>22.013698630136986</v>
      </c>
      <c r="E80" s="543">
        <v>36826</v>
      </c>
      <c r="F80" s="558">
        <v>44861</v>
      </c>
      <c r="G80" s="557">
        <v>10000000</v>
      </c>
      <c r="H80" s="554">
        <v>5</v>
      </c>
    </row>
    <row r="81" spans="1:8" ht="12.75" customHeight="1">
      <c r="A81" s="219">
        <v>4000020</v>
      </c>
      <c r="B81" s="218" t="s">
        <v>1041</v>
      </c>
      <c r="C81" s="218" t="s">
        <v>1045</v>
      </c>
      <c r="D81" s="559">
        <v>22.013698630136986</v>
      </c>
      <c r="E81" s="543">
        <v>36868</v>
      </c>
      <c r="F81" s="558">
        <v>44903</v>
      </c>
      <c r="G81" s="557">
        <v>5000000</v>
      </c>
      <c r="H81" s="554">
        <v>4.625</v>
      </c>
    </row>
    <row r="82" spans="1:8" ht="12.75" customHeight="1">
      <c r="A82" s="552">
        <v>7000022</v>
      </c>
      <c r="B82" s="218" t="s">
        <v>1047</v>
      </c>
      <c r="C82" s="218" t="s">
        <v>1044</v>
      </c>
      <c r="D82" s="559">
        <v>25.175342465753424</v>
      </c>
      <c r="E82" s="556">
        <v>35762</v>
      </c>
      <c r="F82" s="555">
        <v>44951</v>
      </c>
      <c r="G82" s="557">
        <v>12000000</v>
      </c>
      <c r="H82" s="551">
        <v>6.5</v>
      </c>
    </row>
    <row r="83" spans="1:8" ht="12.75" customHeight="1">
      <c r="A83" s="219">
        <v>710013</v>
      </c>
      <c r="B83" s="218" t="s">
        <v>1041</v>
      </c>
      <c r="C83" s="218" t="s">
        <v>1044</v>
      </c>
      <c r="D83" s="559">
        <v>21.92876712328767</v>
      </c>
      <c r="E83" s="543">
        <v>36950</v>
      </c>
      <c r="F83" s="558">
        <v>44954</v>
      </c>
      <c r="G83" s="557">
        <v>15000000</v>
      </c>
      <c r="H83" s="554">
        <v>4.75</v>
      </c>
    </row>
    <row r="84" spans="1:8" ht="12.75" customHeight="1">
      <c r="A84" s="219">
        <v>1900000079</v>
      </c>
      <c r="B84" s="218" t="s">
        <v>1041</v>
      </c>
      <c r="C84" s="218" t="s">
        <v>1046</v>
      </c>
      <c r="D84" s="559">
        <v>23.013698630136986</v>
      </c>
      <c r="E84" s="543">
        <v>36609</v>
      </c>
      <c r="F84" s="558">
        <v>45009</v>
      </c>
      <c r="G84" s="557">
        <v>5000000</v>
      </c>
      <c r="H84" s="554">
        <v>4.875</v>
      </c>
    </row>
    <row r="85" spans="1:8">
      <c r="A85" s="549">
        <v>7000465186</v>
      </c>
      <c r="B85" s="218" t="s">
        <v>1043</v>
      </c>
      <c r="C85" s="218" t="s">
        <v>1044</v>
      </c>
      <c r="D85" s="559">
        <v>34.61643835616438</v>
      </c>
      <c r="E85" s="543">
        <v>32386</v>
      </c>
      <c r="F85" s="558">
        <v>45021</v>
      </c>
      <c r="G85" s="557">
        <v>438818.68</v>
      </c>
      <c r="H85" s="554">
        <v>9.5</v>
      </c>
    </row>
    <row r="86" spans="1:8" ht="12.75" customHeight="1">
      <c r="A86" s="552">
        <v>7000030</v>
      </c>
      <c r="B86" s="218" t="s">
        <v>1047</v>
      </c>
      <c r="C86" s="218" t="s">
        <v>1044</v>
      </c>
      <c r="D86" s="559">
        <v>25.372602739726027</v>
      </c>
      <c r="E86" s="556">
        <v>35871</v>
      </c>
      <c r="F86" s="555">
        <v>45132</v>
      </c>
      <c r="G86" s="557">
        <v>15000000</v>
      </c>
      <c r="H86" s="551">
        <v>5.875</v>
      </c>
    </row>
    <row r="87" spans="1:8" ht="12.75" customHeight="1">
      <c r="A87" s="552">
        <v>7000031</v>
      </c>
      <c r="B87" s="218" t="s">
        <v>1047</v>
      </c>
      <c r="C87" s="218" t="s">
        <v>1044</v>
      </c>
      <c r="D87" s="559">
        <v>25.293150684931508</v>
      </c>
      <c r="E87" s="556">
        <v>35900</v>
      </c>
      <c r="F87" s="555">
        <v>45132</v>
      </c>
      <c r="G87" s="557">
        <v>12000000</v>
      </c>
      <c r="H87" s="551">
        <v>5.625</v>
      </c>
    </row>
    <row r="88" spans="1:8" ht="12.75" customHeight="1">
      <c r="A88" s="552">
        <v>900002497</v>
      </c>
      <c r="B88" s="218" t="s">
        <v>1047</v>
      </c>
      <c r="C88" s="218" t="s">
        <v>1046</v>
      </c>
      <c r="D88" s="559">
        <v>25.315068493150687</v>
      </c>
      <c r="E88" s="543">
        <v>35894</v>
      </c>
      <c r="F88" s="555">
        <v>45134</v>
      </c>
      <c r="G88" s="557">
        <v>10000000</v>
      </c>
      <c r="H88" s="551">
        <v>5.625</v>
      </c>
    </row>
    <row r="89" spans="1:8" ht="12.75" customHeight="1">
      <c r="A89" s="219">
        <v>4000024</v>
      </c>
      <c r="B89" s="218" t="s">
        <v>1041</v>
      </c>
      <c r="C89" s="218" t="s">
        <v>1045</v>
      </c>
      <c r="D89" s="559">
        <v>22.013698630136986</v>
      </c>
      <c r="E89" s="543">
        <v>37134</v>
      </c>
      <c r="F89" s="558">
        <v>45169</v>
      </c>
      <c r="G89" s="557">
        <v>15000000</v>
      </c>
      <c r="H89" s="554">
        <v>4.875</v>
      </c>
    </row>
    <row r="90" spans="1:8" ht="12.75" customHeight="1">
      <c r="A90" s="552">
        <v>1002403</v>
      </c>
      <c r="B90" s="218" t="s">
        <v>1047</v>
      </c>
      <c r="C90" s="218" t="s">
        <v>1045</v>
      </c>
      <c r="D90" s="559">
        <v>27.016438356164382</v>
      </c>
      <c r="E90" s="543">
        <v>35332</v>
      </c>
      <c r="F90" s="555">
        <v>45193</v>
      </c>
      <c r="G90" s="557">
        <v>10000000</v>
      </c>
      <c r="H90" s="551">
        <v>8.25</v>
      </c>
    </row>
    <row r="91" spans="1:8">
      <c r="A91" s="549">
        <v>7000466778</v>
      </c>
      <c r="B91" s="218" t="s">
        <v>1043</v>
      </c>
      <c r="C91" s="218" t="s">
        <v>1044</v>
      </c>
      <c r="D91" s="559">
        <v>34.394520547945206</v>
      </c>
      <c r="E91" s="543">
        <v>32650</v>
      </c>
      <c r="F91" s="558">
        <v>45204</v>
      </c>
      <c r="G91" s="557">
        <v>438818.68</v>
      </c>
      <c r="H91" s="554">
        <v>9.375</v>
      </c>
    </row>
    <row r="92" spans="1:8">
      <c r="A92" s="549">
        <v>7000467652</v>
      </c>
      <c r="B92" s="218" t="s">
        <v>1043</v>
      </c>
      <c r="C92" s="218" t="s">
        <v>1044</v>
      </c>
      <c r="D92" s="559">
        <v>33.964383561643835</v>
      </c>
      <c r="E92" s="543">
        <v>32807</v>
      </c>
      <c r="F92" s="558">
        <v>45204</v>
      </c>
      <c r="G92" s="557">
        <v>75860.240000000005</v>
      </c>
      <c r="H92" s="554">
        <v>9.75</v>
      </c>
    </row>
    <row r="93" spans="1:8" ht="12.75" customHeight="1">
      <c r="A93" s="552">
        <v>7000033</v>
      </c>
      <c r="B93" s="218" t="s">
        <v>1047</v>
      </c>
      <c r="C93" s="218" t="s">
        <v>1044</v>
      </c>
      <c r="D93" s="559">
        <v>25.098630136986301</v>
      </c>
      <c r="E93" s="556">
        <v>36067</v>
      </c>
      <c r="F93" s="555">
        <v>45228</v>
      </c>
      <c r="G93" s="557">
        <v>20000000</v>
      </c>
      <c r="H93" s="551">
        <v>4.875</v>
      </c>
    </row>
    <row r="94" spans="1:8" ht="12.75" customHeight="1">
      <c r="A94" s="552">
        <v>900002477</v>
      </c>
      <c r="B94" s="218" t="s">
        <v>1047</v>
      </c>
      <c r="C94" s="218" t="s">
        <v>1046</v>
      </c>
      <c r="D94" s="559">
        <v>26.016438356164382</v>
      </c>
      <c r="E94" s="543">
        <v>35762</v>
      </c>
      <c r="F94" s="555">
        <v>45258</v>
      </c>
      <c r="G94" s="557">
        <v>10000000</v>
      </c>
      <c r="H94" s="551">
        <v>6.5</v>
      </c>
    </row>
    <row r="95" spans="1:8" ht="12.75" customHeight="1">
      <c r="A95" s="552">
        <v>7000032</v>
      </c>
      <c r="B95" s="218" t="s">
        <v>1047</v>
      </c>
      <c r="C95" s="218" t="s">
        <v>1044</v>
      </c>
      <c r="D95" s="559">
        <v>25.435616438356163</v>
      </c>
      <c r="E95" s="556">
        <v>36021</v>
      </c>
      <c r="F95" s="555">
        <v>45305</v>
      </c>
      <c r="G95" s="557">
        <v>12000000</v>
      </c>
      <c r="H95" s="551">
        <v>5.5</v>
      </c>
    </row>
    <row r="96" spans="1:8" ht="12.75" customHeight="1">
      <c r="A96" s="219">
        <v>4000010</v>
      </c>
      <c r="B96" s="218" t="s">
        <v>1041</v>
      </c>
      <c r="C96" s="218" t="s">
        <v>1045</v>
      </c>
      <c r="D96" s="559">
        <v>24.016438356164382</v>
      </c>
      <c r="E96" s="543">
        <v>36595</v>
      </c>
      <c r="F96" s="558">
        <v>45361</v>
      </c>
      <c r="G96" s="557">
        <v>7105000</v>
      </c>
      <c r="H96" s="554">
        <v>5</v>
      </c>
    </row>
    <row r="97" spans="1:8" ht="12.75" customHeight="1">
      <c r="A97" s="552">
        <v>1002490</v>
      </c>
      <c r="B97" s="218" t="s">
        <v>1047</v>
      </c>
      <c r="C97" s="218" t="s">
        <v>1045</v>
      </c>
      <c r="D97" s="559">
        <v>26.032876712328768</v>
      </c>
      <c r="E97" s="543">
        <v>35864</v>
      </c>
      <c r="F97" s="555">
        <v>45366</v>
      </c>
      <c r="G97" s="557">
        <v>5000000</v>
      </c>
      <c r="H97" s="551">
        <v>6</v>
      </c>
    </row>
    <row r="98" spans="1:8" ht="12.75" customHeight="1">
      <c r="A98" s="219">
        <v>710014</v>
      </c>
      <c r="B98" s="218" t="s">
        <v>1041</v>
      </c>
      <c r="C98" s="218" t="s">
        <v>1044</v>
      </c>
      <c r="D98" s="559">
        <v>23.016438356164382</v>
      </c>
      <c r="E98" s="543">
        <v>36976</v>
      </c>
      <c r="F98" s="558">
        <v>45377</v>
      </c>
      <c r="G98" s="557">
        <v>10000000</v>
      </c>
      <c r="H98" s="554">
        <v>4.625</v>
      </c>
    </row>
    <row r="99" spans="1:8" ht="12.75" customHeight="1">
      <c r="A99" s="219">
        <v>710015</v>
      </c>
      <c r="B99" s="218" t="s">
        <v>1041</v>
      </c>
      <c r="C99" s="218" t="s">
        <v>1044</v>
      </c>
      <c r="D99" s="559">
        <v>23.016438356164382</v>
      </c>
      <c r="E99" s="543">
        <v>36978</v>
      </c>
      <c r="F99" s="558">
        <v>45379</v>
      </c>
      <c r="G99" s="557">
        <v>10000000</v>
      </c>
      <c r="H99" s="554">
        <v>4.625</v>
      </c>
    </row>
    <row r="100" spans="1:8">
      <c r="A100" s="549">
        <v>7000468449</v>
      </c>
      <c r="B100" s="218" t="s">
        <v>1043</v>
      </c>
      <c r="C100" s="218" t="s">
        <v>1044</v>
      </c>
      <c r="D100" s="559">
        <v>34.032876712328765</v>
      </c>
      <c r="E100" s="543">
        <v>32965</v>
      </c>
      <c r="F100" s="558">
        <v>45387</v>
      </c>
      <c r="G100" s="557">
        <v>146272.89000000001</v>
      </c>
      <c r="H100" s="554">
        <v>11.5</v>
      </c>
    </row>
    <row r="101" spans="1:8">
      <c r="A101" s="549">
        <v>7000468735</v>
      </c>
      <c r="B101" s="218" t="s">
        <v>1043</v>
      </c>
      <c r="C101" s="218" t="s">
        <v>1044</v>
      </c>
      <c r="D101" s="559">
        <v>33.580821917808223</v>
      </c>
      <c r="E101" s="543">
        <v>33130</v>
      </c>
      <c r="F101" s="558">
        <v>45387</v>
      </c>
      <c r="G101" s="557">
        <v>102411.32</v>
      </c>
      <c r="H101" s="554">
        <v>11.375</v>
      </c>
    </row>
    <row r="102" spans="1:8" ht="12.75" customHeight="1">
      <c r="A102" s="552">
        <v>900002461</v>
      </c>
      <c r="B102" s="218" t="s">
        <v>1047</v>
      </c>
      <c r="C102" s="218" t="s">
        <v>1046</v>
      </c>
      <c r="D102" s="559">
        <v>27.019178082191782</v>
      </c>
      <c r="E102" s="543">
        <v>35556</v>
      </c>
      <c r="F102" s="555">
        <v>45418</v>
      </c>
      <c r="G102" s="557">
        <v>10000000</v>
      </c>
      <c r="H102" s="551">
        <v>7.625</v>
      </c>
    </row>
    <row r="103" spans="1:8" ht="12.75" customHeight="1">
      <c r="A103" s="552">
        <v>900002502</v>
      </c>
      <c r="B103" s="218" t="s">
        <v>1047</v>
      </c>
      <c r="C103" s="218" t="s">
        <v>1046</v>
      </c>
      <c r="D103" s="559">
        <v>26.019178082191782</v>
      </c>
      <c r="E103" s="543">
        <v>35926</v>
      </c>
      <c r="F103" s="555">
        <v>45423</v>
      </c>
      <c r="G103" s="557">
        <v>10000000</v>
      </c>
      <c r="H103" s="551">
        <v>5.75</v>
      </c>
    </row>
    <row r="104" spans="1:8" ht="12.75" customHeight="1">
      <c r="A104" s="219">
        <v>1900000212</v>
      </c>
      <c r="B104" s="218" t="s">
        <v>1041</v>
      </c>
      <c r="C104" s="218" t="s">
        <v>1046</v>
      </c>
      <c r="D104" s="559">
        <v>23.016438356164382</v>
      </c>
      <c r="E104" s="543">
        <v>37071</v>
      </c>
      <c r="F104" s="558">
        <v>45472</v>
      </c>
      <c r="G104" s="557">
        <v>7500000</v>
      </c>
      <c r="H104" s="554">
        <v>5.125</v>
      </c>
    </row>
    <row r="105" spans="1:8" ht="12.75" customHeight="1">
      <c r="A105" s="219">
        <v>710017</v>
      </c>
      <c r="B105" s="218" t="s">
        <v>1041</v>
      </c>
      <c r="C105" s="218" t="s">
        <v>1044</v>
      </c>
      <c r="D105" s="559">
        <v>22.923287671232877</v>
      </c>
      <c r="E105" s="543">
        <v>37131</v>
      </c>
      <c r="F105" s="558">
        <v>45498</v>
      </c>
      <c r="G105" s="557">
        <v>5000000</v>
      </c>
      <c r="H105" s="554">
        <v>4.875</v>
      </c>
    </row>
    <row r="106" spans="1:8" ht="12.75" customHeight="1">
      <c r="A106" s="219">
        <v>1900000221</v>
      </c>
      <c r="B106" s="218" t="s">
        <v>1041</v>
      </c>
      <c r="C106" s="218" t="s">
        <v>1046</v>
      </c>
      <c r="D106" s="559">
        <v>23.016438356164382</v>
      </c>
      <c r="E106" s="543">
        <v>37113</v>
      </c>
      <c r="F106" s="558">
        <v>45514</v>
      </c>
      <c r="G106" s="557">
        <v>8000000</v>
      </c>
      <c r="H106" s="554">
        <v>5.125</v>
      </c>
    </row>
    <row r="107" spans="1:8" ht="12.75" customHeight="1">
      <c r="A107" s="219">
        <v>710018</v>
      </c>
      <c r="B107" s="218" t="s">
        <v>1041</v>
      </c>
      <c r="C107" s="218" t="s">
        <v>1044</v>
      </c>
      <c r="D107" s="559">
        <v>23.016438356164382</v>
      </c>
      <c r="E107" s="543">
        <v>37137</v>
      </c>
      <c r="F107" s="558">
        <v>45538</v>
      </c>
      <c r="G107" s="557">
        <v>15000000</v>
      </c>
      <c r="H107" s="554">
        <v>4.875</v>
      </c>
    </row>
    <row r="108" spans="1:8">
      <c r="A108" s="549">
        <v>7000466631</v>
      </c>
      <c r="B108" s="218" t="s">
        <v>1043</v>
      </c>
      <c r="C108" s="218" t="s">
        <v>1044</v>
      </c>
      <c r="D108" s="559">
        <v>35.5013698630137</v>
      </c>
      <c r="E108" s="543">
        <v>32612</v>
      </c>
      <c r="F108" s="558">
        <v>45570</v>
      </c>
      <c r="G108" s="557">
        <v>438818.68</v>
      </c>
      <c r="H108" s="554">
        <v>9.375</v>
      </c>
    </row>
    <row r="109" spans="1:8" ht="12.75" customHeight="1">
      <c r="A109" s="219">
        <v>4000015</v>
      </c>
      <c r="B109" s="218" t="s">
        <v>1041</v>
      </c>
      <c r="C109" s="218" t="s">
        <v>1045</v>
      </c>
      <c r="D109" s="559">
        <v>24.016438356164382</v>
      </c>
      <c r="E109" s="543">
        <v>36812</v>
      </c>
      <c r="F109" s="558">
        <v>45578</v>
      </c>
      <c r="G109" s="557">
        <v>5000000</v>
      </c>
      <c r="H109" s="554">
        <v>5</v>
      </c>
    </row>
    <row r="110" spans="1:8" ht="12.75" customHeight="1">
      <c r="A110" s="219">
        <v>710012</v>
      </c>
      <c r="B110" s="218" t="s">
        <v>1041</v>
      </c>
      <c r="C110" s="218" t="s">
        <v>1044</v>
      </c>
      <c r="D110" s="559">
        <v>24.010958904109589</v>
      </c>
      <c r="E110" s="543">
        <v>36860</v>
      </c>
      <c r="F110" s="558">
        <v>45624</v>
      </c>
      <c r="G110" s="557">
        <v>5000000</v>
      </c>
      <c r="H110" s="554">
        <v>4.625</v>
      </c>
    </row>
    <row r="111" spans="1:8" ht="12.75" customHeight="1">
      <c r="A111" s="552">
        <v>1002412</v>
      </c>
      <c r="B111" s="218" t="s">
        <v>1047</v>
      </c>
      <c r="C111" s="218" t="s">
        <v>1045</v>
      </c>
      <c r="D111" s="559">
        <v>28.019178082191782</v>
      </c>
      <c r="E111" s="543">
        <v>35405</v>
      </c>
      <c r="F111" s="555">
        <v>45632</v>
      </c>
      <c r="G111" s="557">
        <v>10000000</v>
      </c>
      <c r="H111" s="551">
        <v>7.5</v>
      </c>
    </row>
    <row r="112" spans="1:8" ht="12.75" customHeight="1">
      <c r="A112" s="219">
        <v>4000023</v>
      </c>
      <c r="B112" s="218" t="s">
        <v>1041</v>
      </c>
      <c r="C112" s="218" t="s">
        <v>1045</v>
      </c>
      <c r="D112" s="559">
        <v>24.016438356164382</v>
      </c>
      <c r="E112" s="543">
        <v>36917</v>
      </c>
      <c r="F112" s="558">
        <v>45683</v>
      </c>
      <c r="G112" s="557">
        <v>10000000</v>
      </c>
      <c r="H112" s="554">
        <v>4.75</v>
      </c>
    </row>
    <row r="113" spans="1:8" ht="12.75" customHeight="1">
      <c r="A113" s="552">
        <v>1002491</v>
      </c>
      <c r="B113" s="218" t="s">
        <v>1047</v>
      </c>
      <c r="C113" s="218" t="s">
        <v>1045</v>
      </c>
      <c r="D113" s="559">
        <v>27.032876712328768</v>
      </c>
      <c r="E113" s="543">
        <v>35864</v>
      </c>
      <c r="F113" s="555">
        <v>45731</v>
      </c>
      <c r="G113" s="557">
        <v>12390000</v>
      </c>
      <c r="H113" s="551">
        <v>6</v>
      </c>
    </row>
    <row r="114" spans="1:8" ht="12.75" customHeight="1">
      <c r="A114" s="552">
        <v>7000034</v>
      </c>
      <c r="B114" s="218" t="s">
        <v>1047</v>
      </c>
      <c r="C114" s="218" t="s">
        <v>1044</v>
      </c>
      <c r="D114" s="559">
        <v>26.019178082191782</v>
      </c>
      <c r="E114" s="556">
        <v>36241</v>
      </c>
      <c r="F114" s="555">
        <v>45738</v>
      </c>
      <c r="G114" s="557">
        <v>25000000</v>
      </c>
      <c r="H114" s="551">
        <v>4.625</v>
      </c>
    </row>
    <row r="115" spans="1:8" ht="12.75" customHeight="1">
      <c r="A115" s="219">
        <v>710004</v>
      </c>
      <c r="B115" s="218" t="s">
        <v>1041</v>
      </c>
      <c r="C115" s="218" t="s">
        <v>1044</v>
      </c>
      <c r="D115" s="559">
        <v>24.931506849315067</v>
      </c>
      <c r="E115" s="543">
        <v>36640</v>
      </c>
      <c r="F115" s="558">
        <v>45740</v>
      </c>
      <c r="G115" s="557">
        <v>30000000</v>
      </c>
      <c r="H115" s="554">
        <v>4.875</v>
      </c>
    </row>
    <row r="116" spans="1:8" ht="12.75" customHeight="1">
      <c r="A116" s="552">
        <v>7000035</v>
      </c>
      <c r="B116" s="218" t="s">
        <v>1047</v>
      </c>
      <c r="C116" s="218" t="s">
        <v>1044</v>
      </c>
      <c r="D116" s="559">
        <v>26.019178082191782</v>
      </c>
      <c r="E116" s="556">
        <v>36245</v>
      </c>
      <c r="F116" s="555">
        <v>45742</v>
      </c>
      <c r="G116" s="557">
        <v>15000000</v>
      </c>
      <c r="H116" s="551">
        <v>4.625</v>
      </c>
    </row>
    <row r="117" spans="1:8" ht="12.75" customHeight="1">
      <c r="A117" s="219">
        <v>1135</v>
      </c>
      <c r="B117" s="218" t="s">
        <v>1041</v>
      </c>
      <c r="C117" s="218" t="s">
        <v>1042</v>
      </c>
      <c r="D117" s="559">
        <v>12.112328767123287</v>
      </c>
      <c r="E117" s="543">
        <v>41327</v>
      </c>
      <c r="F117" s="558">
        <v>45748</v>
      </c>
      <c r="G117" s="557">
        <v>20000000</v>
      </c>
      <c r="H117" s="554">
        <v>2.75</v>
      </c>
    </row>
    <row r="118" spans="1:8">
      <c r="A118" s="549">
        <v>7000467054</v>
      </c>
      <c r="B118" s="218" t="s">
        <v>1043</v>
      </c>
      <c r="C118" s="218" t="s">
        <v>1044</v>
      </c>
      <c r="D118" s="559">
        <v>35.769863013698632</v>
      </c>
      <c r="E118" s="543">
        <v>32696</v>
      </c>
      <c r="F118" s="558">
        <v>45752</v>
      </c>
      <c r="G118" s="557">
        <v>292545.78999999998</v>
      </c>
      <c r="H118" s="554">
        <v>9.625</v>
      </c>
    </row>
    <row r="119" spans="1:8">
      <c r="A119" s="549">
        <v>7000468736</v>
      </c>
      <c r="B119" s="218" t="s">
        <v>1043</v>
      </c>
      <c r="C119" s="218" t="s">
        <v>1044</v>
      </c>
      <c r="D119" s="559">
        <v>34.580821917808223</v>
      </c>
      <c r="E119" s="543">
        <v>33130</v>
      </c>
      <c r="F119" s="558">
        <v>45752</v>
      </c>
      <c r="G119" s="557">
        <v>56895.18</v>
      </c>
      <c r="H119" s="554">
        <v>11.375</v>
      </c>
    </row>
    <row r="120" spans="1:8" ht="12.75" customHeight="1">
      <c r="A120" s="552">
        <v>900002454</v>
      </c>
      <c r="B120" s="218" t="s">
        <v>1047</v>
      </c>
      <c r="C120" s="218" t="s">
        <v>1046</v>
      </c>
      <c r="D120" s="559">
        <v>28.019178082191782</v>
      </c>
      <c r="E120" s="543">
        <v>35534</v>
      </c>
      <c r="F120" s="555">
        <v>45761</v>
      </c>
      <c r="G120" s="557">
        <v>10000000</v>
      </c>
      <c r="H120" s="551">
        <v>7.875</v>
      </c>
    </row>
    <row r="121" spans="1:8" ht="12.75" customHeight="1">
      <c r="A121" s="219">
        <v>710008</v>
      </c>
      <c r="B121" s="218" t="s">
        <v>1041</v>
      </c>
      <c r="C121" s="218" t="s">
        <v>1044</v>
      </c>
      <c r="D121" s="559">
        <v>25.016438356164382</v>
      </c>
      <c r="E121" s="543">
        <v>36703</v>
      </c>
      <c r="F121" s="558">
        <v>45834</v>
      </c>
      <c r="G121" s="557">
        <v>7000000</v>
      </c>
      <c r="H121" s="554">
        <v>4.875</v>
      </c>
    </row>
    <row r="122" spans="1:8" ht="12.75" customHeight="1">
      <c r="A122" s="219">
        <v>4000002</v>
      </c>
      <c r="B122" s="218" t="s">
        <v>1041</v>
      </c>
      <c r="C122" s="218" t="s">
        <v>1045</v>
      </c>
      <c r="D122" s="559">
        <v>26.019178082191782</v>
      </c>
      <c r="E122" s="543">
        <v>36343</v>
      </c>
      <c r="F122" s="558">
        <v>45840</v>
      </c>
      <c r="G122" s="557">
        <v>15000000</v>
      </c>
      <c r="H122" s="554">
        <v>4.75</v>
      </c>
    </row>
    <row r="123" spans="1:8" ht="12.75" customHeight="1">
      <c r="A123" s="552">
        <v>1002469</v>
      </c>
      <c r="B123" s="218" t="s">
        <v>1047</v>
      </c>
      <c r="C123" s="218" t="s">
        <v>1045</v>
      </c>
      <c r="D123" s="559">
        <v>28.019178082191782</v>
      </c>
      <c r="E123" s="543">
        <v>35642</v>
      </c>
      <c r="F123" s="555">
        <v>45869</v>
      </c>
      <c r="G123" s="557">
        <v>10000000</v>
      </c>
      <c r="H123" s="551">
        <v>6.875</v>
      </c>
    </row>
    <row r="124" spans="1:8" ht="12.75" customHeight="1">
      <c r="A124" s="219">
        <v>1099</v>
      </c>
      <c r="B124" s="218" t="s">
        <v>1041</v>
      </c>
      <c r="C124" s="218" t="s">
        <v>1042</v>
      </c>
      <c r="D124" s="559">
        <v>16</v>
      </c>
      <c r="E124" s="543">
        <v>40044</v>
      </c>
      <c r="F124" s="558">
        <v>45884</v>
      </c>
      <c r="G124" s="557">
        <v>10000000</v>
      </c>
      <c r="H124" s="554">
        <v>4.1900000000000004</v>
      </c>
    </row>
    <row r="125" spans="1:8" ht="12.75" customHeight="1">
      <c r="A125" s="219">
        <v>4000025</v>
      </c>
      <c r="B125" s="218" t="s">
        <v>1041</v>
      </c>
      <c r="C125" s="218" t="s">
        <v>1045</v>
      </c>
      <c r="D125" s="559">
        <v>24.016438356164382</v>
      </c>
      <c r="E125" s="543">
        <v>37151</v>
      </c>
      <c r="F125" s="558">
        <v>45917</v>
      </c>
      <c r="G125" s="557">
        <v>5000000</v>
      </c>
      <c r="H125" s="554">
        <v>5</v>
      </c>
    </row>
    <row r="126" spans="1:8" ht="15" customHeight="1">
      <c r="A126" s="549">
        <v>7000466753</v>
      </c>
      <c r="B126" s="218" t="s">
        <v>1043</v>
      </c>
      <c r="C126" s="218" t="s">
        <v>1044</v>
      </c>
      <c r="D126" s="559">
        <v>36.416438356164385</v>
      </c>
      <c r="E126" s="543">
        <v>32643</v>
      </c>
      <c r="F126" s="558">
        <v>45935</v>
      </c>
      <c r="G126" s="557">
        <v>292545.78999999998</v>
      </c>
      <c r="H126" s="554">
        <v>9.375</v>
      </c>
    </row>
    <row r="127" spans="1:8" ht="15" customHeight="1">
      <c r="A127" s="549">
        <v>7000475868</v>
      </c>
      <c r="B127" s="218" t="s">
        <v>1043</v>
      </c>
      <c r="C127" s="218" t="s">
        <v>1044</v>
      </c>
      <c r="D127" s="559">
        <v>30.446575342465753</v>
      </c>
      <c r="E127" s="543">
        <v>34822</v>
      </c>
      <c r="F127" s="558">
        <v>45935</v>
      </c>
      <c r="G127" s="557">
        <v>1952708.96</v>
      </c>
      <c r="H127" s="554">
        <v>8.5</v>
      </c>
    </row>
    <row r="128" spans="1:8" ht="15" customHeight="1">
      <c r="A128" s="549">
        <v>9000475868</v>
      </c>
      <c r="B128" s="218" t="s">
        <v>1043</v>
      </c>
      <c r="C128" s="218" t="s">
        <v>1046</v>
      </c>
      <c r="D128" s="559">
        <v>30.473972602739725</v>
      </c>
      <c r="E128" s="547">
        <v>34822</v>
      </c>
      <c r="F128" s="558">
        <v>45945</v>
      </c>
      <c r="G128" s="557">
        <v>1843120.46</v>
      </c>
      <c r="H128" s="554">
        <v>8.5</v>
      </c>
    </row>
    <row r="129" spans="1:8">
      <c r="A129" s="219">
        <v>710010</v>
      </c>
      <c r="B129" s="218" t="s">
        <v>1041</v>
      </c>
      <c r="C129" s="218" t="s">
        <v>1044</v>
      </c>
      <c r="D129" s="559">
        <v>24.994520547945207</v>
      </c>
      <c r="E129" s="543">
        <v>36839</v>
      </c>
      <c r="F129" s="558">
        <v>45962</v>
      </c>
      <c r="G129" s="557">
        <v>8000000</v>
      </c>
      <c r="H129" s="554">
        <v>4.875</v>
      </c>
    </row>
    <row r="130" spans="1:8">
      <c r="A130" s="219">
        <v>710011</v>
      </c>
      <c r="B130" s="218" t="s">
        <v>1041</v>
      </c>
      <c r="C130" s="218" t="s">
        <v>1044</v>
      </c>
      <c r="D130" s="559">
        <v>25.016438356164382</v>
      </c>
      <c r="E130" s="543">
        <v>36850</v>
      </c>
      <c r="F130" s="558">
        <v>45981</v>
      </c>
      <c r="G130" s="557">
        <v>8000000</v>
      </c>
      <c r="H130" s="554">
        <v>4.75</v>
      </c>
    </row>
    <row r="131" spans="1:8">
      <c r="A131" s="219">
        <v>1114</v>
      </c>
      <c r="B131" s="218" t="s">
        <v>1041</v>
      </c>
      <c r="C131" s="218" t="s">
        <v>1042</v>
      </c>
      <c r="D131" s="559">
        <v>15.084931506849315</v>
      </c>
      <c r="E131" s="543">
        <v>40480</v>
      </c>
      <c r="F131" s="558">
        <v>45986</v>
      </c>
      <c r="G131" s="557">
        <v>15000000</v>
      </c>
      <c r="H131" s="554">
        <v>3.95</v>
      </c>
    </row>
    <row r="132" spans="1:8">
      <c r="A132" s="219">
        <v>1900000151</v>
      </c>
      <c r="B132" s="218" t="s">
        <v>1041</v>
      </c>
      <c r="C132" s="218" t="s">
        <v>1046</v>
      </c>
      <c r="D132" s="559">
        <v>25.016438356164382</v>
      </c>
      <c r="E132" s="543">
        <v>36860</v>
      </c>
      <c r="F132" s="558">
        <v>45991</v>
      </c>
      <c r="G132" s="557">
        <v>5000000</v>
      </c>
      <c r="H132" s="554">
        <v>4.625</v>
      </c>
    </row>
    <row r="133" spans="1:8">
      <c r="A133" s="552">
        <v>1002481</v>
      </c>
      <c r="B133" s="218" t="s">
        <v>1047</v>
      </c>
      <c r="C133" s="218" t="s">
        <v>1045</v>
      </c>
      <c r="D133" s="559">
        <v>28.019178082191782</v>
      </c>
      <c r="E133" s="543">
        <v>35787</v>
      </c>
      <c r="F133" s="555">
        <v>46014</v>
      </c>
      <c r="G133" s="557">
        <v>5000000</v>
      </c>
      <c r="H133" s="551">
        <v>6.25</v>
      </c>
    </row>
    <row r="134" spans="1:8">
      <c r="A134" s="219">
        <v>1900000245</v>
      </c>
      <c r="B134" s="218" t="s">
        <v>1041</v>
      </c>
      <c r="C134" s="218" t="s">
        <v>1046</v>
      </c>
      <c r="D134" s="559">
        <v>24.016438356164382</v>
      </c>
      <c r="E134" s="543">
        <v>37300</v>
      </c>
      <c r="F134" s="558">
        <v>46066</v>
      </c>
      <c r="G134" s="557">
        <v>5000000</v>
      </c>
      <c r="H134" s="554">
        <v>5</v>
      </c>
    </row>
    <row r="135" spans="1:8" ht="15" customHeight="1">
      <c r="A135" s="549">
        <v>7000457280</v>
      </c>
      <c r="B135" s="218" t="s">
        <v>1043</v>
      </c>
      <c r="C135" s="218" t="s">
        <v>1044</v>
      </c>
      <c r="D135" s="559">
        <v>40.5013698630137</v>
      </c>
      <c r="E135" s="543">
        <v>31334</v>
      </c>
      <c r="F135" s="558">
        <v>46117</v>
      </c>
      <c r="G135" s="557">
        <v>75860.240000000005</v>
      </c>
      <c r="H135" s="554">
        <v>10.25</v>
      </c>
    </row>
    <row r="136" spans="1:8" ht="15" customHeight="1">
      <c r="A136" s="549">
        <v>7000468787</v>
      </c>
      <c r="B136" s="218" t="s">
        <v>1043</v>
      </c>
      <c r="C136" s="218" t="s">
        <v>1044</v>
      </c>
      <c r="D136" s="559">
        <v>35.542465753424658</v>
      </c>
      <c r="E136" s="543">
        <v>33144</v>
      </c>
      <c r="F136" s="558">
        <v>46117</v>
      </c>
      <c r="G136" s="557">
        <v>227580.72</v>
      </c>
      <c r="H136" s="554">
        <v>11.25</v>
      </c>
    </row>
    <row r="137" spans="1:8" ht="15" customHeight="1">
      <c r="A137" s="549">
        <v>7000468941</v>
      </c>
      <c r="B137" s="218" t="s">
        <v>1043</v>
      </c>
      <c r="C137" s="218" t="s">
        <v>1044</v>
      </c>
      <c r="D137" s="559">
        <v>35.320547945205476</v>
      </c>
      <c r="E137" s="543">
        <v>33225</v>
      </c>
      <c r="F137" s="558">
        <v>46117</v>
      </c>
      <c r="G137" s="557">
        <v>438818.68</v>
      </c>
      <c r="H137" s="554">
        <v>11.25</v>
      </c>
    </row>
    <row r="138" spans="1:8">
      <c r="A138" s="552">
        <v>900002462</v>
      </c>
      <c r="B138" s="218" t="s">
        <v>1047</v>
      </c>
      <c r="C138" s="218" t="s">
        <v>1046</v>
      </c>
      <c r="D138" s="559">
        <v>29.019178082191782</v>
      </c>
      <c r="E138" s="543">
        <v>35556</v>
      </c>
      <c r="F138" s="555">
        <v>46148</v>
      </c>
      <c r="G138" s="557">
        <v>10000000</v>
      </c>
      <c r="H138" s="551">
        <v>7.625</v>
      </c>
    </row>
    <row r="139" spans="1:8">
      <c r="A139" s="552">
        <v>1002505</v>
      </c>
      <c r="B139" s="218" t="s">
        <v>1047</v>
      </c>
      <c r="C139" s="218" t="s">
        <v>1045</v>
      </c>
      <c r="D139" s="559">
        <v>28.019178082191782</v>
      </c>
      <c r="E139" s="543">
        <v>35941</v>
      </c>
      <c r="F139" s="555">
        <v>46168</v>
      </c>
      <c r="G139" s="557">
        <v>5000000</v>
      </c>
      <c r="H139" s="551">
        <v>5.75</v>
      </c>
    </row>
    <row r="140" spans="1:8">
      <c r="A140" s="219">
        <v>4000003</v>
      </c>
      <c r="B140" s="218" t="s">
        <v>1041</v>
      </c>
      <c r="C140" s="218" t="s">
        <v>1045</v>
      </c>
      <c r="D140" s="559">
        <v>27.019178082191782</v>
      </c>
      <c r="E140" s="543">
        <v>36350</v>
      </c>
      <c r="F140" s="558">
        <v>46212</v>
      </c>
      <c r="G140" s="557">
        <v>20000000</v>
      </c>
      <c r="H140" s="554">
        <v>4.75</v>
      </c>
    </row>
    <row r="141" spans="1:8">
      <c r="A141" s="219">
        <v>710001</v>
      </c>
      <c r="B141" s="218" t="s">
        <v>1041</v>
      </c>
      <c r="C141" s="218" t="s">
        <v>1044</v>
      </c>
      <c r="D141" s="559">
        <v>27.019178082191782</v>
      </c>
      <c r="E141" s="543">
        <v>36355</v>
      </c>
      <c r="F141" s="558">
        <v>46217</v>
      </c>
      <c r="G141" s="557">
        <v>25000000</v>
      </c>
      <c r="H141" s="554">
        <v>4.75</v>
      </c>
    </row>
    <row r="142" spans="1:8">
      <c r="A142" s="219">
        <v>710002</v>
      </c>
      <c r="B142" s="218" t="s">
        <v>1041</v>
      </c>
      <c r="C142" s="218" t="s">
        <v>1044</v>
      </c>
      <c r="D142" s="559">
        <v>27.019178082191782</v>
      </c>
      <c r="E142" s="543">
        <v>36398</v>
      </c>
      <c r="F142" s="558">
        <v>46260</v>
      </c>
      <c r="G142" s="557">
        <v>20000000</v>
      </c>
      <c r="H142" s="554">
        <v>4.875</v>
      </c>
    </row>
    <row r="143" spans="1:8" ht="15" customHeight="1">
      <c r="A143" s="549">
        <v>7000475873</v>
      </c>
      <c r="B143" s="218" t="s">
        <v>1043</v>
      </c>
      <c r="C143" s="218" t="s">
        <v>1044</v>
      </c>
      <c r="D143" s="559">
        <v>31.454794520547946</v>
      </c>
      <c r="E143" s="543">
        <v>34819</v>
      </c>
      <c r="F143" s="558">
        <v>46300</v>
      </c>
      <c r="G143" s="557">
        <v>650902.99</v>
      </c>
      <c r="H143" s="554">
        <v>8.5</v>
      </c>
    </row>
    <row r="144" spans="1:8" ht="15" customHeight="1">
      <c r="A144" s="549">
        <v>9000475873</v>
      </c>
      <c r="B144" s="218" t="s">
        <v>1043</v>
      </c>
      <c r="C144" s="218" t="s">
        <v>1046</v>
      </c>
      <c r="D144" s="559">
        <v>31.482191780821918</v>
      </c>
      <c r="E144" s="547">
        <v>34819</v>
      </c>
      <c r="F144" s="558">
        <v>46310</v>
      </c>
      <c r="G144" s="557">
        <v>614373.49</v>
      </c>
      <c r="H144" s="554">
        <v>8.5</v>
      </c>
    </row>
    <row r="145" spans="1:8">
      <c r="A145" s="552">
        <v>1002474</v>
      </c>
      <c r="B145" s="218" t="s">
        <v>1047</v>
      </c>
      <c r="C145" s="218" t="s">
        <v>1045</v>
      </c>
      <c r="D145" s="559">
        <v>29.019178082191782</v>
      </c>
      <c r="E145" s="543">
        <v>35725</v>
      </c>
      <c r="F145" s="555">
        <v>46317</v>
      </c>
      <c r="G145" s="557">
        <v>10000000</v>
      </c>
      <c r="H145" s="551">
        <v>6.5</v>
      </c>
    </row>
    <row r="146" spans="1:8">
      <c r="A146" s="552">
        <v>900002413</v>
      </c>
      <c r="B146" s="218" t="s">
        <v>1047</v>
      </c>
      <c r="C146" s="218" t="s">
        <v>1046</v>
      </c>
      <c r="D146" s="559">
        <v>30.019178082191782</v>
      </c>
      <c r="E146" s="543">
        <v>35408</v>
      </c>
      <c r="F146" s="555">
        <v>46365</v>
      </c>
      <c r="G146" s="557">
        <v>10000000</v>
      </c>
      <c r="H146" s="551">
        <v>7.5</v>
      </c>
    </row>
    <row r="147" spans="1:8" ht="15" customHeight="1">
      <c r="A147" s="549">
        <v>7000457877</v>
      </c>
      <c r="B147" s="218" t="s">
        <v>1043</v>
      </c>
      <c r="C147" s="218" t="s">
        <v>1044</v>
      </c>
      <c r="D147" s="559">
        <v>31.254794520547946</v>
      </c>
      <c r="E147" s="543">
        <v>35074</v>
      </c>
      <c r="F147" s="558">
        <v>46482</v>
      </c>
      <c r="G147" s="557">
        <v>75860.240000000005</v>
      </c>
      <c r="H147" s="554">
        <v>10.5</v>
      </c>
    </row>
    <row r="148" spans="1:8">
      <c r="A148" s="552">
        <v>1002501</v>
      </c>
      <c r="B148" s="218" t="s">
        <v>1047</v>
      </c>
      <c r="C148" s="218" t="s">
        <v>1045</v>
      </c>
      <c r="D148" s="559">
        <v>29.019178082191782</v>
      </c>
      <c r="E148" s="543">
        <v>35912</v>
      </c>
      <c r="F148" s="555">
        <v>46504</v>
      </c>
      <c r="G148" s="557">
        <v>10000000</v>
      </c>
      <c r="H148" s="551">
        <v>5.625</v>
      </c>
    </row>
    <row r="149" spans="1:8">
      <c r="A149" s="552">
        <v>900002506</v>
      </c>
      <c r="B149" s="218" t="s">
        <v>1047</v>
      </c>
      <c r="C149" s="218" t="s">
        <v>1046</v>
      </c>
      <c r="D149" s="559">
        <v>29.019178082191782</v>
      </c>
      <c r="E149" s="543">
        <v>35955</v>
      </c>
      <c r="F149" s="555">
        <v>46547</v>
      </c>
      <c r="G149" s="557">
        <v>5000000</v>
      </c>
      <c r="H149" s="551">
        <v>5.625</v>
      </c>
    </row>
    <row r="150" spans="1:8">
      <c r="A150" s="219">
        <v>1111</v>
      </c>
      <c r="B150" s="218" t="s">
        <v>1041</v>
      </c>
      <c r="C150" s="218" t="s">
        <v>1042</v>
      </c>
      <c r="D150" s="559">
        <v>16.950684931506849</v>
      </c>
      <c r="E150" s="543">
        <v>40381</v>
      </c>
      <c r="F150" s="558">
        <v>46568</v>
      </c>
      <c r="G150" s="557">
        <v>20000000</v>
      </c>
      <c r="H150" s="554">
        <v>4.1900000000000004</v>
      </c>
    </row>
    <row r="151" spans="1:8">
      <c r="A151" s="219">
        <v>1042</v>
      </c>
      <c r="B151" s="218" t="s">
        <v>1041</v>
      </c>
      <c r="C151" s="218" t="s">
        <v>1042</v>
      </c>
      <c r="D151" s="559">
        <v>22.265753424657536</v>
      </c>
      <c r="E151" s="543">
        <v>38442</v>
      </c>
      <c r="F151" s="558">
        <v>46569</v>
      </c>
      <c r="G151" s="557">
        <v>16000000</v>
      </c>
      <c r="H151" s="554">
        <v>4.3499999999999996</v>
      </c>
    </row>
    <row r="152" spans="1:8">
      <c r="A152" s="219">
        <v>1100</v>
      </c>
      <c r="B152" s="218" t="s">
        <v>1041</v>
      </c>
      <c r="C152" s="218" t="s">
        <v>1042</v>
      </c>
      <c r="D152" s="559">
        <v>17.953424657534246</v>
      </c>
      <c r="E152" s="543">
        <v>40059</v>
      </c>
      <c r="F152" s="558">
        <v>46612</v>
      </c>
      <c r="G152" s="557">
        <v>10000000</v>
      </c>
      <c r="H152" s="554">
        <v>4.07</v>
      </c>
    </row>
    <row r="153" spans="1:8">
      <c r="A153" s="552">
        <v>900002509</v>
      </c>
      <c r="B153" s="218" t="s">
        <v>1047</v>
      </c>
      <c r="C153" s="218" t="s">
        <v>1046</v>
      </c>
      <c r="D153" s="559">
        <v>29.019178082191782</v>
      </c>
      <c r="E153" s="543">
        <v>36035</v>
      </c>
      <c r="F153" s="555">
        <v>46627</v>
      </c>
      <c r="G153" s="557">
        <v>5000000</v>
      </c>
      <c r="H153" s="551">
        <v>5.375</v>
      </c>
    </row>
    <row r="154" spans="1:8">
      <c r="A154" s="219">
        <v>4000005</v>
      </c>
      <c r="B154" s="218" t="s">
        <v>1041</v>
      </c>
      <c r="C154" s="218" t="s">
        <v>1045</v>
      </c>
      <c r="D154" s="559">
        <v>28.019178082191782</v>
      </c>
      <c r="E154" s="543">
        <v>36418</v>
      </c>
      <c r="F154" s="558">
        <v>46645</v>
      </c>
      <c r="G154" s="557">
        <v>10000000</v>
      </c>
      <c r="H154" s="554">
        <v>4.75</v>
      </c>
    </row>
    <row r="155" spans="1:8" ht="15" customHeight="1">
      <c r="A155" s="549">
        <v>7000466779</v>
      </c>
      <c r="B155" s="218" t="s">
        <v>1043</v>
      </c>
      <c r="C155" s="218" t="s">
        <v>1044</v>
      </c>
      <c r="D155" s="559">
        <v>38.397260273972606</v>
      </c>
      <c r="E155" s="543">
        <v>32650</v>
      </c>
      <c r="F155" s="558">
        <v>46665</v>
      </c>
      <c r="G155" s="557">
        <v>438818.68</v>
      </c>
      <c r="H155" s="554">
        <v>9.375</v>
      </c>
    </row>
    <row r="156" spans="1:8">
      <c r="A156" s="219">
        <v>710003</v>
      </c>
      <c r="B156" s="218" t="s">
        <v>1041</v>
      </c>
      <c r="C156" s="218" t="s">
        <v>1044</v>
      </c>
      <c r="D156" s="559">
        <v>28.019178082191782</v>
      </c>
      <c r="E156" s="543">
        <v>36465</v>
      </c>
      <c r="F156" s="558">
        <v>46692</v>
      </c>
      <c r="G156" s="557">
        <v>5000000</v>
      </c>
      <c r="H156" s="554">
        <v>4.875</v>
      </c>
    </row>
    <row r="157" spans="1:8">
      <c r="A157" s="552">
        <v>1002520</v>
      </c>
      <c r="B157" s="218" t="s">
        <v>1047</v>
      </c>
      <c r="C157" s="218" t="s">
        <v>1045</v>
      </c>
      <c r="D157" s="559">
        <v>29.019178082191782</v>
      </c>
      <c r="E157" s="543">
        <v>36126</v>
      </c>
      <c r="F157" s="555">
        <v>46718</v>
      </c>
      <c r="G157" s="557">
        <v>5000000</v>
      </c>
      <c r="H157" s="551">
        <v>4.75</v>
      </c>
    </row>
    <row r="158" spans="1:8">
      <c r="A158" s="552">
        <v>1002421</v>
      </c>
      <c r="B158" s="218" t="s">
        <v>1047</v>
      </c>
      <c r="C158" s="218" t="s">
        <v>1045</v>
      </c>
      <c r="D158" s="559">
        <v>31.019178082191782</v>
      </c>
      <c r="E158" s="543">
        <v>35479</v>
      </c>
      <c r="F158" s="555">
        <v>46801</v>
      </c>
      <c r="G158" s="557">
        <v>10000000</v>
      </c>
      <c r="H158" s="551">
        <v>7.375</v>
      </c>
    </row>
    <row r="159" spans="1:8">
      <c r="A159" s="549">
        <v>7000468450</v>
      </c>
      <c r="B159" s="218" t="s">
        <v>1043</v>
      </c>
      <c r="C159" s="218" t="s">
        <v>1044</v>
      </c>
      <c r="D159" s="559">
        <v>38.035616438356165</v>
      </c>
      <c r="E159" s="543">
        <v>32965</v>
      </c>
      <c r="F159" s="558">
        <v>46848</v>
      </c>
      <c r="G159" s="557">
        <v>146272.89000000001</v>
      </c>
      <c r="H159" s="554">
        <v>11.5</v>
      </c>
    </row>
    <row r="160" spans="1:8">
      <c r="A160" s="552">
        <v>900002463</v>
      </c>
      <c r="B160" s="218" t="s">
        <v>1047</v>
      </c>
      <c r="C160" s="218" t="s">
        <v>1046</v>
      </c>
      <c r="D160" s="559">
        <v>31.021917808219179</v>
      </c>
      <c r="E160" s="543">
        <v>35556</v>
      </c>
      <c r="F160" s="555">
        <v>46879</v>
      </c>
      <c r="G160" s="557">
        <v>10000000</v>
      </c>
      <c r="H160" s="551">
        <v>7.625</v>
      </c>
    </row>
    <row r="161" spans="1:8">
      <c r="A161" s="219">
        <v>1110</v>
      </c>
      <c r="B161" s="218" t="s">
        <v>1041</v>
      </c>
      <c r="C161" s="218" t="s">
        <v>1042</v>
      </c>
      <c r="D161" s="559">
        <v>18.043835616438358</v>
      </c>
      <c r="E161" s="543">
        <v>40380</v>
      </c>
      <c r="F161" s="558">
        <v>46966</v>
      </c>
      <c r="G161" s="557">
        <v>20000000</v>
      </c>
      <c r="H161" s="554">
        <v>4.21</v>
      </c>
    </row>
    <row r="162" spans="1:8">
      <c r="A162" s="219">
        <v>4000004</v>
      </c>
      <c r="B162" s="218" t="s">
        <v>1041</v>
      </c>
      <c r="C162" s="218" t="s">
        <v>1045</v>
      </c>
      <c r="D162" s="559">
        <v>29.021917808219179</v>
      </c>
      <c r="E162" s="543">
        <v>36382</v>
      </c>
      <c r="F162" s="558">
        <v>46975</v>
      </c>
      <c r="G162" s="557">
        <v>15000000</v>
      </c>
      <c r="H162" s="554">
        <v>4.5</v>
      </c>
    </row>
    <row r="163" spans="1:8">
      <c r="A163" s="219">
        <v>1048</v>
      </c>
      <c r="B163" s="218" t="s">
        <v>1041</v>
      </c>
      <c r="C163" s="218" t="s">
        <v>1042</v>
      </c>
      <c r="D163" s="559">
        <v>22.942465753424656</v>
      </c>
      <c r="E163" s="543">
        <v>38652</v>
      </c>
      <c r="F163" s="558">
        <v>47026</v>
      </c>
      <c r="G163" s="557">
        <v>15000000</v>
      </c>
      <c r="H163" s="554">
        <v>4.45</v>
      </c>
    </row>
    <row r="164" spans="1:8">
      <c r="A164" s="552">
        <v>1002521</v>
      </c>
      <c r="B164" s="218" t="s">
        <v>1047</v>
      </c>
      <c r="C164" s="218" t="s">
        <v>1045</v>
      </c>
      <c r="D164" s="559">
        <v>30.021917808219179</v>
      </c>
      <c r="E164" s="543">
        <v>36126</v>
      </c>
      <c r="F164" s="555">
        <v>47084</v>
      </c>
      <c r="G164" s="557">
        <v>5000000</v>
      </c>
      <c r="H164" s="551">
        <v>4.75</v>
      </c>
    </row>
    <row r="165" spans="1:8">
      <c r="A165" s="552">
        <v>900002420</v>
      </c>
      <c r="B165" s="218" t="s">
        <v>1047</v>
      </c>
      <c r="C165" s="218" t="s">
        <v>1046</v>
      </c>
      <c r="D165" s="559">
        <v>32.021917808219179</v>
      </c>
      <c r="E165" s="543">
        <v>35478</v>
      </c>
      <c r="F165" s="555">
        <v>47166</v>
      </c>
      <c r="G165" s="557">
        <v>10000000</v>
      </c>
      <c r="H165" s="551">
        <v>7.375</v>
      </c>
    </row>
    <row r="166" spans="1:8">
      <c r="A166" s="552">
        <v>1002422</v>
      </c>
      <c r="B166" s="218" t="s">
        <v>1047</v>
      </c>
      <c r="C166" s="218" t="s">
        <v>1045</v>
      </c>
      <c r="D166" s="559">
        <v>32.021917808219179</v>
      </c>
      <c r="E166" s="543">
        <v>35479</v>
      </c>
      <c r="F166" s="555">
        <v>47167</v>
      </c>
      <c r="G166" s="557">
        <v>10000000</v>
      </c>
      <c r="H166" s="551">
        <v>7.375</v>
      </c>
    </row>
    <row r="167" spans="1:8">
      <c r="A167" s="552">
        <v>1002527</v>
      </c>
      <c r="B167" s="218" t="s">
        <v>1047</v>
      </c>
      <c r="C167" s="218" t="s">
        <v>1045</v>
      </c>
      <c r="D167" s="559">
        <v>30.07123287671233</v>
      </c>
      <c r="E167" s="543">
        <v>36216</v>
      </c>
      <c r="F167" s="555">
        <v>47192</v>
      </c>
      <c r="G167" s="557">
        <v>5000000</v>
      </c>
      <c r="H167" s="551">
        <v>4.5</v>
      </c>
    </row>
    <row r="168" spans="1:8">
      <c r="A168" s="219">
        <v>1113</v>
      </c>
      <c r="B168" s="218" t="s">
        <v>1041</v>
      </c>
      <c r="C168" s="218" t="s">
        <v>1042</v>
      </c>
      <c r="D168" s="559">
        <v>18.5013698630137</v>
      </c>
      <c r="E168" s="543">
        <v>40457</v>
      </c>
      <c r="F168" s="558">
        <v>47210</v>
      </c>
      <c r="G168" s="557">
        <v>15000000</v>
      </c>
      <c r="H168" s="554">
        <v>3.85</v>
      </c>
    </row>
    <row r="169" spans="1:8">
      <c r="A169" s="219">
        <v>1021</v>
      </c>
      <c r="B169" s="218" t="s">
        <v>1041</v>
      </c>
      <c r="C169" s="218" t="s">
        <v>1042</v>
      </c>
      <c r="D169" s="559">
        <v>25.027397260273972</v>
      </c>
      <c r="E169" s="543">
        <v>38077</v>
      </c>
      <c r="F169" s="558">
        <v>47212</v>
      </c>
      <c r="G169" s="557">
        <v>25000000</v>
      </c>
      <c r="H169" s="554">
        <v>4.8</v>
      </c>
    </row>
    <row r="170" spans="1:8">
      <c r="A170" s="219">
        <v>4000006</v>
      </c>
      <c r="B170" s="218" t="s">
        <v>1041</v>
      </c>
      <c r="C170" s="218" t="s">
        <v>1045</v>
      </c>
      <c r="D170" s="559">
        <v>30.021917808219179</v>
      </c>
      <c r="E170" s="543">
        <v>36418</v>
      </c>
      <c r="F170" s="558">
        <v>47376</v>
      </c>
      <c r="G170" s="557">
        <v>10000000</v>
      </c>
      <c r="H170" s="554">
        <v>4.75</v>
      </c>
    </row>
    <row r="171" spans="1:8">
      <c r="A171" s="219">
        <v>1023</v>
      </c>
      <c r="B171" s="218" t="s">
        <v>1041</v>
      </c>
      <c r="C171" s="218" t="s">
        <v>1042</v>
      </c>
      <c r="D171" s="559">
        <v>25.019178082191782</v>
      </c>
      <c r="E171" s="543">
        <v>38259</v>
      </c>
      <c r="F171" s="558">
        <v>47391</v>
      </c>
      <c r="G171" s="557">
        <v>10000000</v>
      </c>
      <c r="H171" s="554">
        <v>4.8</v>
      </c>
    </row>
    <row r="172" spans="1:8" ht="15" customHeight="1">
      <c r="A172" s="549">
        <v>7000466777</v>
      </c>
      <c r="B172" s="218" t="s">
        <v>1043</v>
      </c>
      <c r="C172" s="218" t="s">
        <v>1044</v>
      </c>
      <c r="D172" s="559">
        <v>40.4</v>
      </c>
      <c r="E172" s="543">
        <v>32650</v>
      </c>
      <c r="F172" s="558">
        <v>47396</v>
      </c>
      <c r="G172" s="557">
        <v>585091.57999999996</v>
      </c>
      <c r="H172" s="554">
        <v>9.375</v>
      </c>
    </row>
    <row r="173" spans="1:8">
      <c r="A173" s="552">
        <v>900002419</v>
      </c>
      <c r="B173" s="218" t="s">
        <v>1047</v>
      </c>
      <c r="C173" s="218" t="s">
        <v>1046</v>
      </c>
      <c r="D173" s="559">
        <v>33.021917808219179</v>
      </c>
      <c r="E173" s="543">
        <v>35478</v>
      </c>
      <c r="F173" s="555">
        <v>47531</v>
      </c>
      <c r="G173" s="557">
        <v>10000000</v>
      </c>
      <c r="H173" s="551">
        <v>7.375</v>
      </c>
    </row>
    <row r="174" spans="1:8">
      <c r="A174" s="552">
        <v>1002437</v>
      </c>
      <c r="B174" s="218" t="s">
        <v>1047</v>
      </c>
      <c r="C174" s="218" t="s">
        <v>1045</v>
      </c>
      <c r="D174" s="559">
        <v>33.021917808219179</v>
      </c>
      <c r="E174" s="543">
        <v>35506</v>
      </c>
      <c r="F174" s="555">
        <v>47559</v>
      </c>
      <c r="G174" s="557">
        <v>20000000</v>
      </c>
      <c r="H174" s="551">
        <v>7.5</v>
      </c>
    </row>
    <row r="175" spans="1:8">
      <c r="A175" s="219">
        <v>1130</v>
      </c>
      <c r="B175" s="218" t="s">
        <v>1041</v>
      </c>
      <c r="C175" s="218" t="s">
        <v>1042</v>
      </c>
      <c r="D175" s="559">
        <v>17.490410958904111</v>
      </c>
      <c r="E175" s="543">
        <v>41190</v>
      </c>
      <c r="F175" s="558">
        <v>47574</v>
      </c>
      <c r="G175" s="557">
        <v>20000000</v>
      </c>
      <c r="H175" s="554">
        <v>2.64</v>
      </c>
    </row>
    <row r="176" spans="1:8" ht="15" customHeight="1">
      <c r="A176" s="549">
        <v>7000468451</v>
      </c>
      <c r="B176" s="218" t="s">
        <v>1043</v>
      </c>
      <c r="C176" s="218" t="s">
        <v>1044</v>
      </c>
      <c r="D176" s="559">
        <v>40.035616438356165</v>
      </c>
      <c r="E176" s="543">
        <v>32965</v>
      </c>
      <c r="F176" s="558">
        <v>47578</v>
      </c>
      <c r="G176" s="557">
        <v>146272.89000000001</v>
      </c>
      <c r="H176" s="554">
        <v>11.5</v>
      </c>
    </row>
    <row r="177" spans="1:8">
      <c r="A177" s="219">
        <v>1025</v>
      </c>
      <c r="B177" s="218" t="s">
        <v>1041</v>
      </c>
      <c r="C177" s="218" t="s">
        <v>1042</v>
      </c>
      <c r="D177" s="559">
        <v>25.43013698630137</v>
      </c>
      <c r="E177" s="543">
        <v>38310</v>
      </c>
      <c r="F177" s="558">
        <v>47592</v>
      </c>
      <c r="G177" s="557">
        <v>15000000</v>
      </c>
      <c r="H177" s="554">
        <v>4.6500000000000004</v>
      </c>
    </row>
    <row r="178" spans="1:8">
      <c r="A178" s="552">
        <v>900002507</v>
      </c>
      <c r="B178" s="218" t="s">
        <v>1047</v>
      </c>
      <c r="C178" s="218" t="s">
        <v>1046</v>
      </c>
      <c r="D178" s="559">
        <v>32.021917808219179</v>
      </c>
      <c r="E178" s="543">
        <v>35965</v>
      </c>
      <c r="F178" s="555">
        <v>47653</v>
      </c>
      <c r="G178" s="557">
        <v>10000000</v>
      </c>
      <c r="H178" s="551">
        <v>5.5</v>
      </c>
    </row>
    <row r="179" spans="1:8">
      <c r="A179" s="219">
        <v>1022</v>
      </c>
      <c r="B179" s="218" t="s">
        <v>1041</v>
      </c>
      <c r="C179" s="218" t="s">
        <v>1042</v>
      </c>
      <c r="D179" s="559">
        <v>26.016438356164382</v>
      </c>
      <c r="E179" s="543">
        <v>38225</v>
      </c>
      <c r="F179" s="558">
        <v>47721</v>
      </c>
      <c r="G179" s="557">
        <v>8000000</v>
      </c>
      <c r="H179" s="554">
        <v>4.9000000000000004</v>
      </c>
    </row>
    <row r="180" spans="1:8">
      <c r="A180" s="219">
        <v>4000007</v>
      </c>
      <c r="B180" s="218" t="s">
        <v>1041</v>
      </c>
      <c r="C180" s="218" t="s">
        <v>1045</v>
      </c>
      <c r="D180" s="559">
        <v>31.021917808219179</v>
      </c>
      <c r="E180" s="543">
        <v>36476</v>
      </c>
      <c r="F180" s="558">
        <v>47799</v>
      </c>
      <c r="G180" s="557">
        <v>10000000</v>
      </c>
      <c r="H180" s="554">
        <v>4.25</v>
      </c>
    </row>
    <row r="181" spans="1:8">
      <c r="A181" s="219">
        <v>1028</v>
      </c>
      <c r="B181" s="218" t="s">
        <v>1041</v>
      </c>
      <c r="C181" s="218" t="s">
        <v>1042</v>
      </c>
      <c r="D181" s="559">
        <v>26.016438356164382</v>
      </c>
      <c r="E181" s="543">
        <v>38344</v>
      </c>
      <c r="F181" s="558">
        <v>47840</v>
      </c>
      <c r="G181" s="557">
        <v>8500000</v>
      </c>
      <c r="H181" s="554">
        <v>4.5</v>
      </c>
    </row>
    <row r="182" spans="1:8">
      <c r="A182" s="552">
        <v>1002438</v>
      </c>
      <c r="B182" s="218" t="s">
        <v>1047</v>
      </c>
      <c r="C182" s="218" t="s">
        <v>1045</v>
      </c>
      <c r="D182" s="559">
        <v>34.027397260273972</v>
      </c>
      <c r="E182" s="543">
        <v>35506</v>
      </c>
      <c r="F182" s="555">
        <v>47926</v>
      </c>
      <c r="G182" s="557">
        <v>24000000</v>
      </c>
      <c r="H182" s="551">
        <v>7.5</v>
      </c>
    </row>
    <row r="183" spans="1:8" ht="15" customHeight="1">
      <c r="A183" s="549">
        <v>7000475839</v>
      </c>
      <c r="B183" s="218" t="s">
        <v>1043</v>
      </c>
      <c r="C183" s="218" t="s">
        <v>1044</v>
      </c>
      <c r="D183" s="559">
        <v>36.660273972602738</v>
      </c>
      <c r="E183" s="543">
        <v>34562</v>
      </c>
      <c r="F183" s="558">
        <v>47943</v>
      </c>
      <c r="G183" s="557">
        <v>731364.47</v>
      </c>
      <c r="H183" s="554">
        <v>8.5</v>
      </c>
    </row>
    <row r="184" spans="1:8" ht="15" customHeight="1">
      <c r="A184" s="549">
        <v>9000475839</v>
      </c>
      <c r="B184" s="218" t="s">
        <v>1043</v>
      </c>
      <c r="C184" s="218" t="s">
        <v>1046</v>
      </c>
      <c r="D184" s="559">
        <v>36.0027397260274</v>
      </c>
      <c r="E184" s="547">
        <v>34812</v>
      </c>
      <c r="F184" s="558">
        <v>47953</v>
      </c>
      <c r="G184" s="557">
        <v>690319.37</v>
      </c>
      <c r="H184" s="554">
        <v>8.5</v>
      </c>
    </row>
    <row r="185" spans="1:8">
      <c r="A185" s="552">
        <v>900002471</v>
      </c>
      <c r="B185" s="218" t="s">
        <v>1047</v>
      </c>
      <c r="C185" s="218" t="s">
        <v>1046</v>
      </c>
      <c r="D185" s="559">
        <v>34.021917808219179</v>
      </c>
      <c r="E185" s="543">
        <v>35717</v>
      </c>
      <c r="F185" s="555">
        <v>48135</v>
      </c>
      <c r="G185" s="557">
        <v>10000000</v>
      </c>
      <c r="H185" s="551">
        <v>6.5</v>
      </c>
    </row>
    <row r="186" spans="1:8">
      <c r="A186" s="219">
        <v>1027</v>
      </c>
      <c r="B186" s="218" t="s">
        <v>1041</v>
      </c>
      <c r="C186" s="218" t="s">
        <v>1042</v>
      </c>
      <c r="D186" s="559">
        <v>31.019178082191782</v>
      </c>
      <c r="E186" s="543">
        <v>36860</v>
      </c>
      <c r="F186" s="558">
        <v>48182</v>
      </c>
      <c r="G186" s="557">
        <v>10000000</v>
      </c>
      <c r="H186" s="554">
        <v>4.55</v>
      </c>
    </row>
    <row r="187" spans="1:8">
      <c r="A187" s="552">
        <v>900002414</v>
      </c>
      <c r="B187" s="218" t="s">
        <v>1047</v>
      </c>
      <c r="C187" s="218" t="s">
        <v>1046</v>
      </c>
      <c r="D187" s="559">
        <v>35.021917808219179</v>
      </c>
      <c r="E187" s="543">
        <v>35408</v>
      </c>
      <c r="F187" s="555">
        <v>48191</v>
      </c>
      <c r="G187" s="557">
        <v>10000000</v>
      </c>
      <c r="H187" s="551">
        <v>7.5</v>
      </c>
    </row>
    <row r="188" spans="1:8">
      <c r="A188" s="219">
        <v>1033</v>
      </c>
      <c r="B188" s="218" t="s">
        <v>1041</v>
      </c>
      <c r="C188" s="218" t="s">
        <v>1042</v>
      </c>
      <c r="D188" s="559">
        <v>26.93972602739726</v>
      </c>
      <c r="E188" s="543">
        <v>38419</v>
      </c>
      <c r="F188" s="558">
        <v>48252</v>
      </c>
      <c r="G188" s="557">
        <v>18000000</v>
      </c>
      <c r="H188" s="554">
        <v>4.8500000000000005</v>
      </c>
    </row>
    <row r="189" spans="1:8">
      <c r="A189" s="219">
        <v>1031</v>
      </c>
      <c r="B189" s="218" t="s">
        <v>1041</v>
      </c>
      <c r="C189" s="218" t="s">
        <v>1042</v>
      </c>
      <c r="D189" s="559">
        <v>27.019178082191782</v>
      </c>
      <c r="E189" s="543">
        <v>38408</v>
      </c>
      <c r="F189" s="558">
        <v>48270</v>
      </c>
      <c r="G189" s="557">
        <v>10000000</v>
      </c>
      <c r="H189" s="554">
        <v>4.7</v>
      </c>
    </row>
    <row r="190" spans="1:8">
      <c r="A190" s="552">
        <v>1002526</v>
      </c>
      <c r="B190" s="218" t="s">
        <v>1047</v>
      </c>
      <c r="C190" s="218" t="s">
        <v>1045</v>
      </c>
      <c r="D190" s="559">
        <v>33.073972602739723</v>
      </c>
      <c r="E190" s="543">
        <v>36216</v>
      </c>
      <c r="F190" s="555">
        <v>48288</v>
      </c>
      <c r="G190" s="557">
        <v>10000000</v>
      </c>
      <c r="H190" s="551">
        <v>4.5</v>
      </c>
    </row>
    <row r="191" spans="1:8">
      <c r="A191" s="552">
        <v>1002451</v>
      </c>
      <c r="B191" s="218" t="s">
        <v>1047</v>
      </c>
      <c r="C191" s="218" t="s">
        <v>1045</v>
      </c>
      <c r="D191" s="559">
        <v>35.024657534246572</v>
      </c>
      <c r="E191" s="543">
        <v>35514</v>
      </c>
      <c r="F191" s="555">
        <v>48298</v>
      </c>
      <c r="G191" s="557">
        <v>11000000</v>
      </c>
      <c r="H191" s="551">
        <v>7.75</v>
      </c>
    </row>
    <row r="192" spans="1:8">
      <c r="A192" s="219">
        <v>1038</v>
      </c>
      <c r="B192" s="218" t="s">
        <v>1041</v>
      </c>
      <c r="C192" s="218" t="s">
        <v>1042</v>
      </c>
      <c r="D192" s="559">
        <v>27.523287671232875</v>
      </c>
      <c r="E192" s="543">
        <v>38435</v>
      </c>
      <c r="F192" s="558">
        <v>48481</v>
      </c>
      <c r="G192" s="557">
        <v>10000000</v>
      </c>
      <c r="H192" s="554">
        <v>4.8500000000000005</v>
      </c>
    </row>
    <row r="193" spans="1:8">
      <c r="A193" s="552">
        <v>1002514</v>
      </c>
      <c r="B193" s="218" t="s">
        <v>1047</v>
      </c>
      <c r="C193" s="218" t="s">
        <v>1045</v>
      </c>
      <c r="D193" s="559">
        <v>34.024657534246572</v>
      </c>
      <c r="E193" s="543">
        <v>36080</v>
      </c>
      <c r="F193" s="555">
        <v>48499</v>
      </c>
      <c r="G193" s="557">
        <v>10000000</v>
      </c>
      <c r="H193" s="551">
        <v>4.5</v>
      </c>
    </row>
    <row r="194" spans="1:8">
      <c r="A194" s="552">
        <v>900002512</v>
      </c>
      <c r="B194" s="218" t="s">
        <v>1047</v>
      </c>
      <c r="C194" s="218" t="s">
        <v>1046</v>
      </c>
      <c r="D194" s="559">
        <v>34.060273972602737</v>
      </c>
      <c r="E194" s="543">
        <v>36070</v>
      </c>
      <c r="F194" s="555">
        <v>48502</v>
      </c>
      <c r="G194" s="557">
        <v>10000000</v>
      </c>
      <c r="H194" s="551">
        <v>4.75</v>
      </c>
    </row>
    <row r="195" spans="1:8">
      <c r="A195" s="219">
        <v>1024</v>
      </c>
      <c r="B195" s="218" t="s">
        <v>1041</v>
      </c>
      <c r="C195" s="218" t="s">
        <v>1042</v>
      </c>
      <c r="D195" s="559">
        <v>28.016438356164382</v>
      </c>
      <c r="E195" s="543">
        <v>38289</v>
      </c>
      <c r="F195" s="558">
        <v>48515</v>
      </c>
      <c r="G195" s="557">
        <v>18500000</v>
      </c>
      <c r="H195" s="554">
        <v>4.7</v>
      </c>
    </row>
    <row r="196" spans="1:8">
      <c r="A196" s="219">
        <v>1051</v>
      </c>
      <c r="B196" s="218" t="s">
        <v>1041</v>
      </c>
      <c r="C196" s="218" t="s">
        <v>1042</v>
      </c>
      <c r="D196" s="559">
        <v>27.021917808219179</v>
      </c>
      <c r="E196" s="543">
        <v>38742</v>
      </c>
      <c r="F196" s="558">
        <v>48605</v>
      </c>
      <c r="G196" s="557">
        <v>17000000</v>
      </c>
      <c r="H196" s="554">
        <v>3.95</v>
      </c>
    </row>
    <row r="197" spans="1:8">
      <c r="A197" s="219">
        <v>1030</v>
      </c>
      <c r="B197" s="218" t="s">
        <v>1041</v>
      </c>
      <c r="C197" s="218" t="s">
        <v>1042</v>
      </c>
      <c r="D197" s="559">
        <v>28.024657534246575</v>
      </c>
      <c r="E197" s="543">
        <v>38401</v>
      </c>
      <c r="F197" s="558">
        <v>48630</v>
      </c>
      <c r="G197" s="557">
        <v>10000000</v>
      </c>
      <c r="H197" s="554">
        <v>4.55</v>
      </c>
    </row>
    <row r="198" spans="1:8">
      <c r="A198" s="219">
        <v>1032</v>
      </c>
      <c r="B198" s="218" t="s">
        <v>1041</v>
      </c>
      <c r="C198" s="218" t="s">
        <v>1042</v>
      </c>
      <c r="D198" s="559">
        <v>28.016438356164382</v>
      </c>
      <c r="E198" s="543">
        <v>38411</v>
      </c>
      <c r="F198" s="558">
        <v>48637</v>
      </c>
      <c r="G198" s="557">
        <v>10000000</v>
      </c>
      <c r="H198" s="554">
        <v>4.75</v>
      </c>
    </row>
    <row r="199" spans="1:8" ht="12.75" customHeight="1">
      <c r="A199" s="219">
        <v>1026</v>
      </c>
      <c r="B199" s="218" t="s">
        <v>1041</v>
      </c>
      <c r="C199" s="218" t="s">
        <v>1042</v>
      </c>
      <c r="D199" s="559">
        <v>28.608219178082191</v>
      </c>
      <c r="E199" s="543">
        <v>38316</v>
      </c>
      <c r="F199" s="558">
        <v>48758</v>
      </c>
      <c r="G199" s="557">
        <v>20000000</v>
      </c>
      <c r="H199" s="554">
        <v>4.5999999999999996</v>
      </c>
    </row>
    <row r="200" spans="1:8" ht="12.75" customHeight="1">
      <c r="A200" s="552">
        <v>1002515</v>
      </c>
      <c r="B200" s="218" t="s">
        <v>1047</v>
      </c>
      <c r="C200" s="218" t="s">
        <v>1045</v>
      </c>
      <c r="D200" s="559">
        <v>35.024657534246572</v>
      </c>
      <c r="E200" s="543">
        <v>36080</v>
      </c>
      <c r="F200" s="555">
        <v>48864</v>
      </c>
      <c r="G200" s="557">
        <v>10000000</v>
      </c>
      <c r="H200" s="551">
        <v>4.5</v>
      </c>
    </row>
    <row r="201" spans="1:8">
      <c r="A201" s="219">
        <v>1900000049</v>
      </c>
      <c r="B201" s="218" t="s">
        <v>1041</v>
      </c>
      <c r="C201" s="218" t="s">
        <v>1046</v>
      </c>
      <c r="D201" s="559">
        <v>34.024657534246572</v>
      </c>
      <c r="E201" s="543">
        <v>36462</v>
      </c>
      <c r="F201" s="558">
        <v>48881</v>
      </c>
      <c r="G201" s="557">
        <v>10000000</v>
      </c>
      <c r="H201" s="554">
        <v>4.625</v>
      </c>
    </row>
    <row r="202" spans="1:8" ht="12.75" customHeight="1">
      <c r="A202" s="219">
        <v>1034</v>
      </c>
      <c r="B202" s="218" t="s">
        <v>1041</v>
      </c>
      <c r="C202" s="218" t="s">
        <v>1042</v>
      </c>
      <c r="D202" s="559">
        <v>29.019178082191782</v>
      </c>
      <c r="E202" s="543">
        <v>38422</v>
      </c>
      <c r="F202" s="558">
        <v>49014</v>
      </c>
      <c r="G202" s="557">
        <v>10000000</v>
      </c>
      <c r="H202" s="554">
        <v>4.8</v>
      </c>
    </row>
    <row r="203" spans="1:8">
      <c r="A203" s="219">
        <v>1035</v>
      </c>
      <c r="B203" s="218" t="s">
        <v>1041</v>
      </c>
      <c r="C203" s="218" t="s">
        <v>1042</v>
      </c>
      <c r="D203" s="559">
        <v>29.019178082191782</v>
      </c>
      <c r="E203" s="543">
        <v>38426</v>
      </c>
      <c r="F203" s="558">
        <v>49018</v>
      </c>
      <c r="G203" s="557">
        <v>20000000</v>
      </c>
      <c r="H203" s="554">
        <v>4.9000000000000004</v>
      </c>
    </row>
    <row r="204" spans="1:8">
      <c r="A204" s="219">
        <v>1039</v>
      </c>
      <c r="B204" s="218" t="s">
        <v>1041</v>
      </c>
      <c r="C204" s="218" t="s">
        <v>1042</v>
      </c>
      <c r="D204" s="559">
        <v>29.271232876712329</v>
      </c>
      <c r="E204" s="543">
        <v>38441</v>
      </c>
      <c r="F204" s="558">
        <v>49125</v>
      </c>
      <c r="G204" s="557">
        <v>10000000</v>
      </c>
      <c r="H204" s="554">
        <v>4.8500000000000005</v>
      </c>
    </row>
    <row r="205" spans="1:8">
      <c r="A205" s="219">
        <v>1900000025</v>
      </c>
      <c r="B205" s="218" t="s">
        <v>1041</v>
      </c>
      <c r="C205" s="218" t="s">
        <v>1046</v>
      </c>
      <c r="D205" s="559">
        <v>35.027397260273972</v>
      </c>
      <c r="E205" s="543">
        <v>36343</v>
      </c>
      <c r="F205" s="558">
        <v>49128</v>
      </c>
      <c r="G205" s="557">
        <v>5000000</v>
      </c>
      <c r="H205" s="554">
        <v>4.75</v>
      </c>
    </row>
    <row r="206" spans="1:8">
      <c r="A206" s="219">
        <v>1037</v>
      </c>
      <c r="B206" s="218" t="s">
        <v>1041</v>
      </c>
      <c r="C206" s="218" t="s">
        <v>1042</v>
      </c>
      <c r="D206" s="559">
        <v>29.424657534246574</v>
      </c>
      <c r="E206" s="543">
        <v>38433</v>
      </c>
      <c r="F206" s="558">
        <v>49173</v>
      </c>
      <c r="G206" s="557">
        <v>20000000</v>
      </c>
      <c r="H206" s="554">
        <v>4.8500000000000005</v>
      </c>
    </row>
    <row r="207" spans="1:8">
      <c r="A207" s="219">
        <v>1040</v>
      </c>
      <c r="B207" s="218" t="s">
        <v>1041</v>
      </c>
      <c r="C207" s="218" t="s">
        <v>1042</v>
      </c>
      <c r="D207" s="559">
        <v>29.520547945205479</v>
      </c>
      <c r="E207" s="543">
        <v>38442</v>
      </c>
      <c r="F207" s="558">
        <v>49217</v>
      </c>
      <c r="G207" s="557">
        <v>7900000</v>
      </c>
      <c r="H207" s="554">
        <v>4.8500000000000005</v>
      </c>
    </row>
    <row r="208" spans="1:8">
      <c r="A208" s="219">
        <v>1036</v>
      </c>
      <c r="B208" s="218" t="s">
        <v>1041</v>
      </c>
      <c r="C208" s="218" t="s">
        <v>1042</v>
      </c>
      <c r="D208" s="559">
        <v>30.016438356164382</v>
      </c>
      <c r="E208" s="543">
        <v>38429</v>
      </c>
      <c r="F208" s="558">
        <v>49385</v>
      </c>
      <c r="G208" s="557">
        <v>21500000</v>
      </c>
      <c r="H208" s="554">
        <v>4.8</v>
      </c>
    </row>
    <row r="209" spans="1:8">
      <c r="A209" s="219">
        <v>1047</v>
      </c>
      <c r="B209" s="218" t="s">
        <v>1041</v>
      </c>
      <c r="C209" s="218" t="s">
        <v>1042</v>
      </c>
      <c r="D209" s="559">
        <v>29.602739726027398</v>
      </c>
      <c r="E209" s="543">
        <v>38625</v>
      </c>
      <c r="F209" s="558">
        <v>49430</v>
      </c>
      <c r="G209" s="557">
        <v>31000000</v>
      </c>
      <c r="H209" s="554">
        <v>4.3999999999999995</v>
      </c>
    </row>
    <row r="210" spans="1:8">
      <c r="A210" s="219">
        <v>1049</v>
      </c>
      <c r="B210" s="218" t="s">
        <v>1041</v>
      </c>
      <c r="C210" s="218" t="s">
        <v>1042</v>
      </c>
      <c r="D210" s="559">
        <v>30.602739726027398</v>
      </c>
      <c r="E210" s="543">
        <v>38383</v>
      </c>
      <c r="F210" s="558">
        <v>49553</v>
      </c>
      <c r="G210" s="557">
        <v>5000000</v>
      </c>
      <c r="H210" s="554">
        <v>4.5</v>
      </c>
    </row>
    <row r="211" spans="1:8" ht="15" customHeight="1">
      <c r="A211" s="549">
        <v>7000458934</v>
      </c>
      <c r="B211" s="218" t="s">
        <v>1043</v>
      </c>
      <c r="C211" s="218" t="s">
        <v>1044</v>
      </c>
      <c r="D211" s="559">
        <v>49.558904109589044</v>
      </c>
      <c r="E211" s="543">
        <v>31498</v>
      </c>
      <c r="F211" s="558">
        <v>49587</v>
      </c>
      <c r="G211" s="557">
        <v>37930.120000000003</v>
      </c>
      <c r="H211" s="554">
        <v>9.25</v>
      </c>
    </row>
    <row r="212" spans="1:8" ht="12.75" customHeight="1">
      <c r="A212" s="552">
        <v>900002513</v>
      </c>
      <c r="B212" s="218" t="s">
        <v>1047</v>
      </c>
      <c r="C212" s="218" t="s">
        <v>1046</v>
      </c>
      <c r="D212" s="559">
        <v>37.032876712328765</v>
      </c>
      <c r="E212" s="543">
        <v>36080</v>
      </c>
      <c r="F212" s="555">
        <v>49597</v>
      </c>
      <c r="G212" s="557">
        <v>2500000</v>
      </c>
      <c r="H212" s="551">
        <v>4.5</v>
      </c>
    </row>
    <row r="213" spans="1:8">
      <c r="A213" s="219">
        <v>1050</v>
      </c>
      <c r="B213" s="218" t="s">
        <v>1041</v>
      </c>
      <c r="C213" s="218" t="s">
        <v>1042</v>
      </c>
      <c r="D213" s="559">
        <v>29.93972602739726</v>
      </c>
      <c r="E213" s="543">
        <v>38686</v>
      </c>
      <c r="F213" s="558">
        <v>49614</v>
      </c>
      <c r="G213" s="557">
        <v>12000000</v>
      </c>
      <c r="H213" s="554">
        <v>4.25</v>
      </c>
    </row>
    <row r="214" spans="1:8">
      <c r="A214" s="219">
        <v>1209</v>
      </c>
      <c r="B214" s="218" t="s">
        <v>1041</v>
      </c>
      <c r="C214" s="218" t="s">
        <v>1042</v>
      </c>
      <c r="D214" s="559">
        <v>16.438356164383563</v>
      </c>
      <c r="E214" s="543">
        <v>43780</v>
      </c>
      <c r="F214" s="547">
        <v>49780</v>
      </c>
      <c r="G214" s="557">
        <v>20000000</v>
      </c>
      <c r="H214" s="554">
        <v>1.22</v>
      </c>
    </row>
    <row r="215" spans="1:8">
      <c r="A215" s="219">
        <v>1101</v>
      </c>
      <c r="B215" s="218" t="s">
        <v>1041</v>
      </c>
      <c r="C215" s="218" t="s">
        <v>1042</v>
      </c>
      <c r="D215" s="559">
        <v>26.994520547945207</v>
      </c>
      <c r="E215" s="543">
        <v>40084</v>
      </c>
      <c r="F215" s="558">
        <v>49937</v>
      </c>
      <c r="G215" s="557">
        <v>20000000</v>
      </c>
      <c r="H215" s="554">
        <v>4.3099999999999996</v>
      </c>
    </row>
    <row r="216" spans="1:8">
      <c r="A216" s="219">
        <v>1062</v>
      </c>
      <c r="B216" s="218" t="s">
        <v>1041</v>
      </c>
      <c r="C216" s="218" t="s">
        <v>1042</v>
      </c>
      <c r="D216" s="559">
        <v>29.027397260273972</v>
      </c>
      <c r="E216" s="543">
        <v>39470</v>
      </c>
      <c r="F216" s="558">
        <v>50065</v>
      </c>
      <c r="G216" s="557">
        <v>10000000</v>
      </c>
      <c r="H216" s="554">
        <v>4.46</v>
      </c>
    </row>
    <row r="217" spans="1:8" ht="15" customHeight="1">
      <c r="A217" s="219">
        <v>1207</v>
      </c>
      <c r="B217" s="218" t="s">
        <v>1041</v>
      </c>
      <c r="C217" s="218" t="s">
        <v>1042</v>
      </c>
      <c r="D217" s="559">
        <v>17.432876712328767</v>
      </c>
      <c r="E217" s="543">
        <v>43774</v>
      </c>
      <c r="F217" s="547">
        <v>50137</v>
      </c>
      <c r="G217" s="557">
        <v>20000000</v>
      </c>
      <c r="H217" s="554">
        <v>1.1499999999999999</v>
      </c>
    </row>
    <row r="218" spans="1:8">
      <c r="A218" s="219">
        <v>1102</v>
      </c>
      <c r="B218" s="218" t="s">
        <v>1041</v>
      </c>
      <c r="C218" s="218" t="s">
        <v>1042</v>
      </c>
      <c r="D218" s="559">
        <v>27.964383561643835</v>
      </c>
      <c r="E218" s="543">
        <v>40107</v>
      </c>
      <c r="F218" s="558">
        <v>50314</v>
      </c>
      <c r="G218" s="557">
        <v>10000000</v>
      </c>
      <c r="H218" s="554">
        <v>4.2799999999999994</v>
      </c>
    </row>
    <row r="219" spans="1:8" ht="12.75" customHeight="1">
      <c r="A219" s="549">
        <v>7000464213</v>
      </c>
      <c r="B219" s="218" t="s">
        <v>1043</v>
      </c>
      <c r="C219" s="218" t="s">
        <v>1044</v>
      </c>
      <c r="D219" s="559">
        <v>49.564383561643837</v>
      </c>
      <c r="E219" s="543">
        <v>32227</v>
      </c>
      <c r="F219" s="558">
        <v>50318</v>
      </c>
      <c r="G219" s="557">
        <v>93090.52</v>
      </c>
      <c r="H219" s="554">
        <v>9.125</v>
      </c>
    </row>
    <row r="220" spans="1:8" ht="15" customHeight="1">
      <c r="A220" s="219">
        <v>1063</v>
      </c>
      <c r="B220" s="218" t="s">
        <v>1041</v>
      </c>
      <c r="C220" s="218" t="s">
        <v>1042</v>
      </c>
      <c r="D220" s="559">
        <v>29.898630136986302</v>
      </c>
      <c r="E220" s="543">
        <v>39476</v>
      </c>
      <c r="F220" s="558">
        <v>50389</v>
      </c>
      <c r="G220" s="557">
        <v>10000000</v>
      </c>
      <c r="H220" s="554">
        <v>4.4799999999999995</v>
      </c>
    </row>
    <row r="221" spans="1:8">
      <c r="A221" s="219">
        <v>1137</v>
      </c>
      <c r="B221" s="218" t="s">
        <v>1041</v>
      </c>
      <c r="C221" s="218" t="s">
        <v>1042</v>
      </c>
      <c r="D221" s="559">
        <v>24.720547945205478</v>
      </c>
      <c r="E221" s="543">
        <v>41473</v>
      </c>
      <c r="F221" s="558">
        <v>50496</v>
      </c>
      <c r="G221" s="557">
        <v>20000000</v>
      </c>
      <c r="H221" s="554">
        <v>3.53</v>
      </c>
    </row>
    <row r="222" spans="1:8" ht="15" customHeight="1">
      <c r="A222" s="219">
        <v>1214</v>
      </c>
      <c r="B222" s="218" t="s">
        <v>1041</v>
      </c>
      <c r="C222" s="218" t="s">
        <v>1042</v>
      </c>
      <c r="D222" s="559">
        <v>18.336986301369862</v>
      </c>
      <c r="E222" s="543">
        <v>43847</v>
      </c>
      <c r="F222" s="547">
        <v>50540</v>
      </c>
      <c r="G222" s="557">
        <v>25000000</v>
      </c>
      <c r="H222" s="554">
        <v>1.26</v>
      </c>
    </row>
    <row r="223" spans="1:8" ht="15" customHeight="1">
      <c r="A223" s="549">
        <v>7000453331</v>
      </c>
      <c r="B223" s="218" t="s">
        <v>1043</v>
      </c>
      <c r="C223" s="218" t="s">
        <v>1044</v>
      </c>
      <c r="D223" s="559">
        <v>54.909589041095892</v>
      </c>
      <c r="E223" s="543">
        <v>30641</v>
      </c>
      <c r="F223" s="558">
        <v>50683</v>
      </c>
      <c r="G223" s="557">
        <v>75860.240000000005</v>
      </c>
      <c r="H223" s="554">
        <v>10.125</v>
      </c>
    </row>
    <row r="224" spans="1:8" ht="15" customHeight="1">
      <c r="A224" s="219">
        <v>1211</v>
      </c>
      <c r="B224" s="218" t="s">
        <v>1041</v>
      </c>
      <c r="C224" s="218" t="s">
        <v>1042</v>
      </c>
      <c r="D224" s="559">
        <v>19.358904109589041</v>
      </c>
      <c r="E224" s="543">
        <v>43809</v>
      </c>
      <c r="F224" s="547">
        <v>50875</v>
      </c>
      <c r="G224" s="557">
        <v>20000000</v>
      </c>
      <c r="H224" s="554">
        <v>1.35</v>
      </c>
    </row>
    <row r="225" spans="1:8" ht="15" customHeight="1">
      <c r="A225" s="219">
        <v>1215</v>
      </c>
      <c r="B225" s="218" t="s">
        <v>1041</v>
      </c>
      <c r="C225" s="218" t="s">
        <v>1042</v>
      </c>
      <c r="D225" s="559">
        <v>19.336986301369862</v>
      </c>
      <c r="E225" s="543">
        <v>43852</v>
      </c>
      <c r="F225" s="547">
        <v>50910</v>
      </c>
      <c r="G225" s="557">
        <v>20000000</v>
      </c>
      <c r="H225" s="554">
        <v>1.25</v>
      </c>
    </row>
    <row r="226" spans="1:8">
      <c r="A226" s="219">
        <v>1220</v>
      </c>
      <c r="B226" s="218" t="s">
        <v>1041</v>
      </c>
      <c r="C226" s="218" t="s">
        <v>1042</v>
      </c>
      <c r="D226" s="559">
        <v>20.175342465753424</v>
      </c>
      <c r="E226" s="543">
        <v>43872</v>
      </c>
      <c r="F226" s="547">
        <v>51236</v>
      </c>
      <c r="G226" s="557">
        <v>20000000</v>
      </c>
      <c r="H226" s="554">
        <v>1.19</v>
      </c>
    </row>
    <row r="227" spans="1:8">
      <c r="A227" s="219">
        <v>1054</v>
      </c>
      <c r="B227" s="218" t="s">
        <v>1041</v>
      </c>
      <c r="C227" s="218" t="s">
        <v>1042</v>
      </c>
      <c r="D227" s="559">
        <v>35.030136986301372</v>
      </c>
      <c r="E227" s="543">
        <v>38776</v>
      </c>
      <c r="F227" s="558">
        <v>51562</v>
      </c>
      <c r="G227" s="557">
        <v>7000000</v>
      </c>
      <c r="H227" s="554">
        <v>3.95</v>
      </c>
    </row>
    <row r="228" spans="1:8" ht="12.75" customHeight="1">
      <c r="A228" s="549">
        <v>7000451995</v>
      </c>
      <c r="B228" s="218" t="s">
        <v>1043</v>
      </c>
      <c r="C228" s="218" t="s">
        <v>1044</v>
      </c>
      <c r="D228" s="559">
        <v>58.005479452054793</v>
      </c>
      <c r="E228" s="543">
        <v>30424</v>
      </c>
      <c r="F228" s="558">
        <v>51596</v>
      </c>
      <c r="G228" s="557">
        <v>56895.18</v>
      </c>
      <c r="H228" s="554">
        <v>10.25</v>
      </c>
    </row>
    <row r="229" spans="1:8" ht="12.75" customHeight="1">
      <c r="A229" s="549">
        <v>9000451995</v>
      </c>
      <c r="B229" s="218" t="s">
        <v>1043</v>
      </c>
      <c r="C229" s="218" t="s">
        <v>1046</v>
      </c>
      <c r="D229" s="559">
        <v>58.032876712328765</v>
      </c>
      <c r="E229" s="547">
        <v>30424</v>
      </c>
      <c r="F229" s="558">
        <v>51606</v>
      </c>
      <c r="G229" s="557">
        <v>53702.15</v>
      </c>
      <c r="H229" s="554">
        <v>10.25</v>
      </c>
    </row>
    <row r="230" spans="1:8">
      <c r="A230" s="219">
        <v>1218</v>
      </c>
      <c r="B230" s="218" t="s">
        <v>1041</v>
      </c>
      <c r="C230" s="218" t="s">
        <v>1042</v>
      </c>
      <c r="D230" s="559">
        <v>21.24931506849315</v>
      </c>
      <c r="E230" s="543">
        <v>43865</v>
      </c>
      <c r="F230" s="547">
        <v>51621</v>
      </c>
      <c r="G230" s="557">
        <v>20000000</v>
      </c>
      <c r="H230" s="554">
        <v>1.18</v>
      </c>
    </row>
    <row r="231" spans="1:8">
      <c r="A231" s="219">
        <v>1221</v>
      </c>
      <c r="B231" s="218" t="s">
        <v>1041</v>
      </c>
      <c r="C231" s="218" t="s">
        <v>1042</v>
      </c>
      <c r="D231" s="559">
        <v>22.13150684931507</v>
      </c>
      <c r="E231" s="543">
        <v>43908</v>
      </c>
      <c r="F231" s="547">
        <v>51986</v>
      </c>
      <c r="G231" s="557">
        <v>20000000</v>
      </c>
      <c r="H231" s="554">
        <v>0.99</v>
      </c>
    </row>
    <row r="232" spans="1:8" ht="12.75" customHeight="1">
      <c r="A232" s="549">
        <v>7000452318</v>
      </c>
      <c r="B232" s="218" t="s">
        <v>1043</v>
      </c>
      <c r="C232" s="218" t="s">
        <v>1044</v>
      </c>
      <c r="D232" s="559">
        <v>59.372602739726027</v>
      </c>
      <c r="E232" s="543">
        <v>30473</v>
      </c>
      <c r="F232" s="558">
        <v>52144</v>
      </c>
      <c r="G232" s="557">
        <v>75860.240000000005</v>
      </c>
      <c r="H232" s="554">
        <v>10.375</v>
      </c>
    </row>
    <row r="233" spans="1:8" ht="12.75" customHeight="1">
      <c r="A233" s="549">
        <v>9000452318</v>
      </c>
      <c r="B233" s="218" t="s">
        <v>1043</v>
      </c>
      <c r="C233" s="218" t="s">
        <v>1046</v>
      </c>
      <c r="D233" s="559">
        <v>59.4</v>
      </c>
      <c r="E233" s="547">
        <v>30473</v>
      </c>
      <c r="F233" s="558">
        <v>52154</v>
      </c>
      <c r="G233" s="557">
        <v>71602.87</v>
      </c>
      <c r="H233" s="554">
        <v>10.375</v>
      </c>
    </row>
    <row r="234" spans="1:8">
      <c r="A234" s="219">
        <v>1064</v>
      </c>
      <c r="B234" s="218" t="s">
        <v>1041</v>
      </c>
      <c r="C234" s="218" t="s">
        <v>1042</v>
      </c>
      <c r="D234" s="559">
        <v>34.857534246575341</v>
      </c>
      <c r="E234" s="543">
        <v>39478</v>
      </c>
      <c r="F234" s="558">
        <v>52201</v>
      </c>
      <c r="G234" s="557">
        <v>10000000</v>
      </c>
      <c r="H234" s="554">
        <v>4.4799999999999995</v>
      </c>
    </row>
    <row r="235" spans="1:8">
      <c r="A235" s="219">
        <v>1217</v>
      </c>
      <c r="B235" s="218" t="s">
        <v>1041</v>
      </c>
      <c r="C235" s="218" t="s">
        <v>1042</v>
      </c>
      <c r="D235" s="559">
        <v>24.145205479452056</v>
      </c>
      <c r="E235" s="543">
        <v>43858</v>
      </c>
      <c r="F235" s="547">
        <v>52671</v>
      </c>
      <c r="G235" s="557">
        <v>20000000</v>
      </c>
      <c r="H235" s="554">
        <v>1.24</v>
      </c>
    </row>
    <row r="236" spans="1:8">
      <c r="A236" s="219">
        <v>1216</v>
      </c>
      <c r="B236" s="218" t="s">
        <v>1041</v>
      </c>
      <c r="C236" s="218" t="s">
        <v>1042</v>
      </c>
      <c r="D236" s="559">
        <v>24.273972602739725</v>
      </c>
      <c r="E236" s="543">
        <v>43857</v>
      </c>
      <c r="F236" s="547">
        <v>52717</v>
      </c>
      <c r="G236" s="557">
        <v>20000000</v>
      </c>
      <c r="H236" s="554">
        <v>1.25</v>
      </c>
    </row>
    <row r="237" spans="1:8">
      <c r="A237" s="219">
        <v>1221</v>
      </c>
      <c r="B237" s="218" t="s">
        <v>1041</v>
      </c>
      <c r="C237" s="218" t="s">
        <v>1042</v>
      </c>
      <c r="D237" s="559">
        <v>25.887671232876713</v>
      </c>
      <c r="E237" s="543">
        <v>43908</v>
      </c>
      <c r="F237" s="547">
        <v>53357</v>
      </c>
      <c r="G237" s="557">
        <v>20000000</v>
      </c>
      <c r="H237" s="554">
        <v>1</v>
      </c>
    </row>
    <row r="238" spans="1:8">
      <c r="A238" s="219">
        <v>1053</v>
      </c>
      <c r="B238" s="218" t="s">
        <v>1041</v>
      </c>
      <c r="C238" s="218" t="s">
        <v>1042</v>
      </c>
      <c r="D238" s="559">
        <v>40.032876712328765</v>
      </c>
      <c r="E238" s="543">
        <v>38771</v>
      </c>
      <c r="F238" s="558">
        <v>53383</v>
      </c>
      <c r="G238" s="557">
        <v>10000000</v>
      </c>
      <c r="H238" s="554">
        <v>3.95</v>
      </c>
    </row>
    <row r="239" spans="1:8">
      <c r="A239" s="550">
        <v>1056</v>
      </c>
      <c r="B239" s="218" t="s">
        <v>1041</v>
      </c>
      <c r="C239" s="218" t="s">
        <v>1042</v>
      </c>
      <c r="D239" s="559">
        <v>40.145205479452052</v>
      </c>
      <c r="E239" s="543">
        <v>38792</v>
      </c>
      <c r="F239" s="547">
        <v>53445</v>
      </c>
      <c r="G239" s="557">
        <v>14400000</v>
      </c>
      <c r="H239" s="554">
        <v>4.1000000000000005</v>
      </c>
    </row>
    <row r="240" spans="1:8">
      <c r="A240" s="219">
        <v>1061</v>
      </c>
      <c r="B240" s="218" t="s">
        <v>1041</v>
      </c>
      <c r="C240" s="218" t="s">
        <v>1042</v>
      </c>
      <c r="D240" s="559">
        <v>40.030136986301372</v>
      </c>
      <c r="E240" s="543">
        <v>39171</v>
      </c>
      <c r="F240" s="558">
        <v>53782</v>
      </c>
      <c r="G240" s="557">
        <v>15000000</v>
      </c>
      <c r="H240" s="554">
        <v>4.5</v>
      </c>
    </row>
    <row r="241" spans="1:8">
      <c r="A241" s="219">
        <v>1057</v>
      </c>
      <c r="B241" s="218" t="s">
        <v>1041</v>
      </c>
      <c r="C241" s="218" t="s">
        <v>1042</v>
      </c>
      <c r="D241" s="559">
        <v>41.027397260273972</v>
      </c>
      <c r="E241" s="543">
        <v>38860</v>
      </c>
      <c r="F241" s="558">
        <v>53835</v>
      </c>
      <c r="G241" s="557">
        <v>15000000</v>
      </c>
      <c r="H241" s="554">
        <v>4.2</v>
      </c>
    </row>
    <row r="242" spans="1:8">
      <c r="A242" s="219">
        <v>1219</v>
      </c>
      <c r="B242" s="218" t="s">
        <v>1041</v>
      </c>
      <c r="C242" s="218" t="s">
        <v>1042</v>
      </c>
      <c r="D242" s="559">
        <v>28.252054794520546</v>
      </c>
      <c r="E242" s="543">
        <v>43866</v>
      </c>
      <c r="F242" s="547">
        <v>54178</v>
      </c>
      <c r="G242" s="557">
        <v>20000000</v>
      </c>
      <c r="H242" s="554">
        <v>1.18</v>
      </c>
    </row>
    <row r="243" spans="1:8">
      <c r="A243" s="219">
        <v>1058</v>
      </c>
      <c r="B243" s="218" t="s">
        <v>1041</v>
      </c>
      <c r="C243" s="218" t="s">
        <v>1042</v>
      </c>
      <c r="D243" s="559">
        <v>42.030136986301372</v>
      </c>
      <c r="E243" s="543">
        <v>38862</v>
      </c>
      <c r="F243" s="558">
        <v>54203</v>
      </c>
      <c r="G243" s="557">
        <v>10000000</v>
      </c>
      <c r="H243" s="554">
        <v>4.25</v>
      </c>
    </row>
    <row r="244" spans="1:8">
      <c r="A244" s="219">
        <v>1210</v>
      </c>
      <c r="B244" s="218" t="s">
        <v>1041</v>
      </c>
      <c r="C244" s="218" t="s">
        <v>1042</v>
      </c>
      <c r="D244" s="559">
        <v>30.301369863013697</v>
      </c>
      <c r="E244" s="543">
        <v>43802</v>
      </c>
      <c r="F244" s="547">
        <v>54862</v>
      </c>
      <c r="G244" s="557">
        <v>20000000</v>
      </c>
      <c r="H244" s="554">
        <v>1.33</v>
      </c>
    </row>
    <row r="245" spans="1:8" ht="12.75" customHeight="1">
      <c r="A245" s="219">
        <v>1052</v>
      </c>
      <c r="B245" s="218" t="s">
        <v>1041</v>
      </c>
      <c r="C245" s="218" t="s">
        <v>1042</v>
      </c>
      <c r="D245" s="559">
        <v>45.032876712328765</v>
      </c>
      <c r="E245" s="543">
        <v>38743</v>
      </c>
      <c r="F245" s="558">
        <v>55180</v>
      </c>
      <c r="G245" s="557">
        <v>17000000</v>
      </c>
      <c r="H245" s="554">
        <v>3.6999999999999997</v>
      </c>
    </row>
    <row r="246" spans="1:8">
      <c r="A246" s="219">
        <v>1223</v>
      </c>
      <c r="B246" s="218" t="s">
        <v>1041</v>
      </c>
      <c r="C246" s="218" t="s">
        <v>1042</v>
      </c>
      <c r="D246" s="559">
        <v>30.890410958904109</v>
      </c>
      <c r="E246" s="543">
        <v>43908</v>
      </c>
      <c r="F246" s="547">
        <v>55183</v>
      </c>
      <c r="G246" s="557">
        <v>19312000</v>
      </c>
      <c r="H246" s="554">
        <v>0.96</v>
      </c>
    </row>
    <row r="247" spans="1:8">
      <c r="A247" s="550">
        <v>1055</v>
      </c>
      <c r="B247" s="218" t="s">
        <v>1041</v>
      </c>
      <c r="C247" s="218" t="s">
        <v>1042</v>
      </c>
      <c r="D247" s="559">
        <v>45.115068493150687</v>
      </c>
      <c r="E247" s="543">
        <v>38791</v>
      </c>
      <c r="F247" s="547">
        <v>55258</v>
      </c>
      <c r="G247" s="557">
        <v>20000000</v>
      </c>
      <c r="H247" s="554">
        <v>4.1000000000000005</v>
      </c>
    </row>
    <row r="248" spans="1:8">
      <c r="A248" s="219">
        <v>1059</v>
      </c>
      <c r="B248" s="218" t="s">
        <v>1041</v>
      </c>
      <c r="C248" s="218" t="s">
        <v>1042</v>
      </c>
      <c r="D248" s="559">
        <v>45.038356164383565</v>
      </c>
      <c r="E248" s="543">
        <v>39155</v>
      </c>
      <c r="F248" s="558">
        <v>55594</v>
      </c>
      <c r="G248" s="557">
        <v>15000000</v>
      </c>
      <c r="H248" s="554">
        <v>4.3499999999999996</v>
      </c>
    </row>
    <row r="249" spans="1:8">
      <c r="A249" s="219">
        <v>1060</v>
      </c>
      <c r="B249" s="218" t="s">
        <v>1041</v>
      </c>
      <c r="C249" s="218" t="s">
        <v>1042</v>
      </c>
      <c r="D249" s="559">
        <v>45.052054794520551</v>
      </c>
      <c r="E249" s="543">
        <v>39169</v>
      </c>
      <c r="F249" s="558">
        <v>55613</v>
      </c>
      <c r="G249" s="557">
        <v>14600000</v>
      </c>
      <c r="H249" s="554">
        <v>4.3999999999999995</v>
      </c>
    </row>
    <row r="250" spans="1:8">
      <c r="A250" s="219">
        <v>1069</v>
      </c>
      <c r="B250" s="218" t="s">
        <v>1041</v>
      </c>
      <c r="C250" s="218" t="s">
        <v>1042</v>
      </c>
      <c r="D250" s="559">
        <v>44.561643835616437</v>
      </c>
      <c r="E250" s="543">
        <v>39520</v>
      </c>
      <c r="F250" s="558">
        <v>55785</v>
      </c>
      <c r="G250" s="557">
        <v>12000000</v>
      </c>
      <c r="H250" s="554">
        <v>4.42</v>
      </c>
    </row>
    <row r="251" spans="1:8">
      <c r="A251" s="219">
        <v>1208</v>
      </c>
      <c r="B251" s="218" t="s">
        <v>1041</v>
      </c>
      <c r="C251" s="218" t="s">
        <v>1042</v>
      </c>
      <c r="D251" s="559">
        <v>34.336986301369862</v>
      </c>
      <c r="E251" s="543">
        <v>43776</v>
      </c>
      <c r="F251" s="547">
        <v>56309</v>
      </c>
      <c r="G251" s="557">
        <v>20000000</v>
      </c>
      <c r="H251" s="554">
        <v>1.33</v>
      </c>
    </row>
    <row r="252" spans="1:8">
      <c r="A252" s="219">
        <v>1153</v>
      </c>
      <c r="B252" s="218" t="s">
        <v>1041</v>
      </c>
      <c r="C252" s="218" t="s">
        <v>1042</v>
      </c>
      <c r="D252" s="559">
        <v>40.178082191780824</v>
      </c>
      <c r="E252" s="543">
        <v>42013</v>
      </c>
      <c r="F252" s="558">
        <v>56678</v>
      </c>
      <c r="G252" s="557">
        <v>15000000</v>
      </c>
      <c r="H252" s="554">
        <v>2.4500000000000002</v>
      </c>
    </row>
    <row r="253" spans="1:8">
      <c r="A253" s="219">
        <v>1213</v>
      </c>
      <c r="B253" s="218" t="s">
        <v>1041</v>
      </c>
      <c r="C253" s="218" t="s">
        <v>1042</v>
      </c>
      <c r="D253" s="559">
        <v>35.243835616438353</v>
      </c>
      <c r="E253" s="543">
        <v>43840</v>
      </c>
      <c r="F253" s="547">
        <v>56704</v>
      </c>
      <c r="G253" s="557">
        <v>20000000</v>
      </c>
      <c r="H253" s="554">
        <v>1.3</v>
      </c>
    </row>
    <row r="254" spans="1:8">
      <c r="A254" s="219">
        <v>1154</v>
      </c>
      <c r="B254" s="218" t="s">
        <v>1041</v>
      </c>
      <c r="C254" s="218" t="s">
        <v>1042</v>
      </c>
      <c r="D254" s="559">
        <v>40.720547945205482</v>
      </c>
      <c r="E254" s="543">
        <v>42024</v>
      </c>
      <c r="F254" s="558">
        <v>56887</v>
      </c>
      <c r="G254" s="557">
        <v>15000000</v>
      </c>
      <c r="H254" s="554">
        <v>2.2999999999999998</v>
      </c>
    </row>
    <row r="255" spans="1:8">
      <c r="A255" s="219">
        <v>1212</v>
      </c>
      <c r="B255" s="218" t="s">
        <v>1041</v>
      </c>
      <c r="C255" s="218" t="s">
        <v>1042</v>
      </c>
      <c r="D255" s="559">
        <v>36.260273972602739</v>
      </c>
      <c r="E255" s="543">
        <v>43819</v>
      </c>
      <c r="F255" s="547">
        <v>57054</v>
      </c>
      <c r="G255" s="557">
        <v>20000000</v>
      </c>
      <c r="H255" s="554">
        <v>1.31</v>
      </c>
    </row>
    <row r="256" spans="1:8">
      <c r="A256" s="219">
        <v>1068</v>
      </c>
      <c r="B256" s="218" t="s">
        <v>1041</v>
      </c>
      <c r="C256" s="218" t="s">
        <v>1042</v>
      </c>
      <c r="D256" s="559">
        <v>48.586301369863016</v>
      </c>
      <c r="E256" s="543">
        <v>39518</v>
      </c>
      <c r="F256" s="558">
        <v>57252</v>
      </c>
      <c r="G256" s="557">
        <v>20000000</v>
      </c>
      <c r="H256" s="554">
        <v>4.4400000000000004</v>
      </c>
    </row>
    <row r="257" spans="1:8">
      <c r="A257" s="219">
        <v>1072</v>
      </c>
      <c r="B257" s="218" t="s">
        <v>1041</v>
      </c>
      <c r="C257" s="218" t="s">
        <v>1042</v>
      </c>
      <c r="D257" s="559">
        <v>48.591780821917808</v>
      </c>
      <c r="E257" s="543">
        <v>39527</v>
      </c>
      <c r="F257" s="558">
        <v>57263</v>
      </c>
      <c r="G257" s="557">
        <v>15000000</v>
      </c>
      <c r="H257" s="554">
        <v>4.45</v>
      </c>
    </row>
    <row r="258" spans="1:8">
      <c r="A258" s="219">
        <v>1065</v>
      </c>
      <c r="B258" s="218" t="s">
        <v>1041</v>
      </c>
      <c r="C258" s="218" t="s">
        <v>1042</v>
      </c>
      <c r="D258" s="559">
        <v>49.038356164383565</v>
      </c>
      <c r="E258" s="543">
        <v>39505</v>
      </c>
      <c r="F258" s="558">
        <v>57404</v>
      </c>
      <c r="G258" s="557">
        <v>16500000</v>
      </c>
      <c r="H258" s="554">
        <v>4.5699999999999994</v>
      </c>
    </row>
    <row r="259" spans="1:8">
      <c r="A259" s="549">
        <v>1140</v>
      </c>
      <c r="B259" s="218" t="s">
        <v>1041</v>
      </c>
      <c r="C259" s="218" t="s">
        <v>1042</v>
      </c>
      <c r="D259" s="559">
        <v>43.558904109589044</v>
      </c>
      <c r="E259" s="543">
        <v>41536</v>
      </c>
      <c r="F259" s="558">
        <v>57435</v>
      </c>
      <c r="G259" s="557">
        <v>20000000</v>
      </c>
      <c r="H259" s="554">
        <v>3.73</v>
      </c>
    </row>
    <row r="260" spans="1:8">
      <c r="A260" s="219">
        <v>1066</v>
      </c>
      <c r="B260" s="218" t="s">
        <v>1041</v>
      </c>
      <c r="C260" s="218" t="s">
        <v>1042</v>
      </c>
      <c r="D260" s="559">
        <v>49.150684931506852</v>
      </c>
      <c r="E260" s="543">
        <v>39505</v>
      </c>
      <c r="F260" s="558">
        <v>57445</v>
      </c>
      <c r="G260" s="557">
        <v>5000000</v>
      </c>
      <c r="H260" s="554">
        <v>4.5699999999999994</v>
      </c>
    </row>
    <row r="261" spans="1:8">
      <c r="A261" s="219">
        <v>1078</v>
      </c>
      <c r="B261" s="218" t="s">
        <v>1041</v>
      </c>
      <c r="C261" s="218" t="s">
        <v>1042</v>
      </c>
      <c r="D261" s="559">
        <v>49.084931506849315</v>
      </c>
      <c r="E261" s="543">
        <v>39703</v>
      </c>
      <c r="F261" s="558">
        <v>57619</v>
      </c>
      <c r="G261" s="557">
        <v>35000000</v>
      </c>
      <c r="H261" s="554">
        <v>4.42</v>
      </c>
    </row>
    <row r="262" spans="1:8" ht="12.75" customHeight="1">
      <c r="A262" s="219">
        <v>1083</v>
      </c>
      <c r="B262" s="218" t="s">
        <v>1041</v>
      </c>
      <c r="C262" s="218" t="s">
        <v>1042</v>
      </c>
      <c r="D262" s="559">
        <v>49.041095890410958</v>
      </c>
      <c r="E262" s="543">
        <v>39780</v>
      </c>
      <c r="F262" s="558">
        <v>57680</v>
      </c>
      <c r="G262" s="557">
        <v>10000000</v>
      </c>
      <c r="H262" s="554">
        <v>4.2799999999999994</v>
      </c>
    </row>
    <row r="263" spans="1:8" ht="12.75" customHeight="1">
      <c r="A263" s="219">
        <v>1073</v>
      </c>
      <c r="B263" s="218" t="s">
        <v>1041</v>
      </c>
      <c r="C263" s="218" t="s">
        <v>1042</v>
      </c>
      <c r="D263" s="559">
        <v>49.830136986301369</v>
      </c>
      <c r="E263" s="543">
        <v>39527</v>
      </c>
      <c r="F263" s="558">
        <v>57715</v>
      </c>
      <c r="G263" s="557">
        <v>15000000</v>
      </c>
      <c r="H263" s="554">
        <v>4.45</v>
      </c>
    </row>
    <row r="264" spans="1:8">
      <c r="A264" s="219">
        <v>1071</v>
      </c>
      <c r="B264" s="218" t="s">
        <v>1041</v>
      </c>
      <c r="C264" s="218" t="s">
        <v>1042</v>
      </c>
      <c r="D264" s="559">
        <v>49.871232876712327</v>
      </c>
      <c r="E264" s="543">
        <v>39524</v>
      </c>
      <c r="F264" s="558">
        <v>57727</v>
      </c>
      <c r="G264" s="557">
        <v>15000000</v>
      </c>
      <c r="H264" s="554">
        <v>4.46</v>
      </c>
    </row>
    <row r="265" spans="1:8">
      <c r="A265" s="219">
        <v>1077</v>
      </c>
      <c r="B265" s="218" t="s">
        <v>1041</v>
      </c>
      <c r="C265" s="218" t="s">
        <v>1042</v>
      </c>
      <c r="D265" s="559">
        <v>49.531506849315072</v>
      </c>
      <c r="E265" s="543">
        <v>39692</v>
      </c>
      <c r="F265" s="558">
        <v>57771</v>
      </c>
      <c r="G265" s="557">
        <v>20000000</v>
      </c>
      <c r="H265" s="554">
        <v>4.42</v>
      </c>
    </row>
    <row r="266" spans="1:8">
      <c r="A266" s="219">
        <v>1067</v>
      </c>
      <c r="B266" s="218" t="s">
        <v>1041</v>
      </c>
      <c r="C266" s="218" t="s">
        <v>1042</v>
      </c>
      <c r="D266" s="559">
        <v>50.027397260273972</v>
      </c>
      <c r="E266" s="543">
        <v>39512</v>
      </c>
      <c r="F266" s="558">
        <v>57772</v>
      </c>
      <c r="G266" s="557">
        <v>15000000</v>
      </c>
      <c r="H266" s="554">
        <v>4.46</v>
      </c>
    </row>
    <row r="267" spans="1:8">
      <c r="A267" s="219">
        <v>1076</v>
      </c>
      <c r="B267" s="218" t="s">
        <v>1041</v>
      </c>
      <c r="C267" s="218" t="s">
        <v>1042</v>
      </c>
      <c r="D267" s="559">
        <v>49.624657534246573</v>
      </c>
      <c r="E267" s="543">
        <v>39661</v>
      </c>
      <c r="F267" s="558">
        <v>57774</v>
      </c>
      <c r="G267" s="557">
        <v>5000000</v>
      </c>
      <c r="H267" s="554">
        <v>4.4799999999999995</v>
      </c>
    </row>
    <row r="268" spans="1:8">
      <c r="A268" s="219">
        <v>1074</v>
      </c>
      <c r="B268" s="218" t="s">
        <v>1041</v>
      </c>
      <c r="C268" s="218" t="s">
        <v>1042</v>
      </c>
      <c r="D268" s="559">
        <v>50.030136986301372</v>
      </c>
      <c r="E268" s="543">
        <v>39597</v>
      </c>
      <c r="F268" s="558">
        <v>57858</v>
      </c>
      <c r="G268" s="557">
        <v>15000000</v>
      </c>
      <c r="H268" s="554">
        <v>4.49</v>
      </c>
    </row>
    <row r="269" spans="1:8" ht="12.75" customHeight="1">
      <c r="A269" s="219">
        <v>1081</v>
      </c>
      <c r="B269" s="218" t="s">
        <v>1041</v>
      </c>
      <c r="C269" s="218" t="s">
        <v>1042</v>
      </c>
      <c r="D269" s="559">
        <v>49.646575342465752</v>
      </c>
      <c r="E269" s="543">
        <v>39750</v>
      </c>
      <c r="F269" s="558">
        <v>57871</v>
      </c>
      <c r="G269" s="557">
        <v>10000000</v>
      </c>
      <c r="H269" s="554">
        <v>4.3900000000000006</v>
      </c>
    </row>
    <row r="270" spans="1:8">
      <c r="A270" s="219">
        <v>1075</v>
      </c>
      <c r="B270" s="218" t="s">
        <v>1041</v>
      </c>
      <c r="C270" s="218" t="s">
        <v>1042</v>
      </c>
      <c r="D270" s="559">
        <v>50.027397260273972</v>
      </c>
      <c r="E270" s="543">
        <v>39631</v>
      </c>
      <c r="F270" s="558">
        <v>57891</v>
      </c>
      <c r="G270" s="557">
        <v>30000000</v>
      </c>
      <c r="H270" s="554">
        <v>4.5199999999999996</v>
      </c>
    </row>
    <row r="271" spans="1:8">
      <c r="A271" s="219">
        <v>1082</v>
      </c>
      <c r="B271" s="218" t="s">
        <v>1041</v>
      </c>
      <c r="C271" s="218" t="s">
        <v>1042</v>
      </c>
      <c r="D271" s="559">
        <v>49.893150684931506</v>
      </c>
      <c r="E271" s="543">
        <v>39752</v>
      </c>
      <c r="F271" s="558">
        <v>57963</v>
      </c>
      <c r="G271" s="557">
        <v>25000000</v>
      </c>
      <c r="H271" s="554">
        <v>4.43</v>
      </c>
    </row>
    <row r="272" spans="1:8">
      <c r="A272" s="219">
        <v>1079</v>
      </c>
      <c r="B272" s="218" t="s">
        <v>1041</v>
      </c>
      <c r="C272" s="218" t="s">
        <v>1042</v>
      </c>
      <c r="D272" s="559">
        <v>49.972602739726028</v>
      </c>
      <c r="E272" s="543">
        <v>39743</v>
      </c>
      <c r="F272" s="558">
        <v>57983</v>
      </c>
      <c r="G272" s="557">
        <v>10000000</v>
      </c>
      <c r="H272" s="554">
        <v>4.47</v>
      </c>
    </row>
    <row r="273" spans="1:8">
      <c r="A273" s="219">
        <v>1144</v>
      </c>
      <c r="B273" s="218" t="s">
        <v>1041</v>
      </c>
      <c r="C273" s="218" t="s">
        <v>1042</v>
      </c>
      <c r="D273" s="559">
        <v>44.679452054794524</v>
      </c>
      <c r="E273" s="543">
        <v>41675</v>
      </c>
      <c r="F273" s="558">
        <v>57983</v>
      </c>
      <c r="G273" s="557">
        <v>20000000</v>
      </c>
      <c r="H273" s="554">
        <v>3.55</v>
      </c>
    </row>
    <row r="274" spans="1:8" ht="12.75" customHeight="1">
      <c r="A274" s="219">
        <v>1146</v>
      </c>
      <c r="B274" s="218" t="s">
        <v>1041</v>
      </c>
      <c r="C274" s="218" t="s">
        <v>1042</v>
      </c>
      <c r="D274" s="559">
        <v>45.227397260273975</v>
      </c>
      <c r="E274" s="543">
        <v>41687</v>
      </c>
      <c r="F274" s="558">
        <v>58195</v>
      </c>
      <c r="G274" s="557">
        <v>20000000</v>
      </c>
      <c r="H274" s="554">
        <v>3.62</v>
      </c>
    </row>
    <row r="275" spans="1:8">
      <c r="A275" s="219">
        <v>1145</v>
      </c>
      <c r="B275" s="218" t="s">
        <v>1041</v>
      </c>
      <c r="C275" s="218" t="s">
        <v>1042</v>
      </c>
      <c r="D275" s="559">
        <v>45.424657534246577</v>
      </c>
      <c r="E275" s="543">
        <v>41677</v>
      </c>
      <c r="F275" s="558">
        <v>58257</v>
      </c>
      <c r="G275" s="557">
        <v>20000000</v>
      </c>
      <c r="H275" s="554">
        <v>3.54</v>
      </c>
    </row>
    <row r="276" spans="1:8">
      <c r="A276" s="219">
        <v>1125</v>
      </c>
      <c r="B276" s="218" t="s">
        <v>1041</v>
      </c>
      <c r="C276" s="218" t="s">
        <v>1042</v>
      </c>
      <c r="D276" s="559">
        <v>49.038356164383565</v>
      </c>
      <c r="E276" s="543">
        <v>40613</v>
      </c>
      <c r="F276" s="558">
        <v>58512</v>
      </c>
      <c r="G276" s="557">
        <v>22945000</v>
      </c>
      <c r="H276" s="554">
        <v>4.43</v>
      </c>
    </row>
    <row r="277" spans="1:8" ht="15" customHeight="1">
      <c r="A277" s="219">
        <v>1126</v>
      </c>
      <c r="B277" s="218" t="s">
        <v>1041</v>
      </c>
      <c r="C277" s="218" t="s">
        <v>1042</v>
      </c>
      <c r="D277" s="559">
        <v>49.054794520547944</v>
      </c>
      <c r="E277" s="543">
        <v>40620</v>
      </c>
      <c r="F277" s="558">
        <v>58525</v>
      </c>
      <c r="G277" s="557">
        <v>15000000</v>
      </c>
      <c r="H277" s="554">
        <v>4.34</v>
      </c>
    </row>
    <row r="278" spans="1:8" ht="15" customHeight="1">
      <c r="A278" s="219">
        <v>1127</v>
      </c>
      <c r="B278" s="218" t="s">
        <v>1041</v>
      </c>
      <c r="C278" s="218" t="s">
        <v>1042</v>
      </c>
      <c r="D278" s="559">
        <v>49.054794520547944</v>
      </c>
      <c r="E278" s="543">
        <v>40626</v>
      </c>
      <c r="F278" s="558">
        <v>58531</v>
      </c>
      <c r="G278" s="557">
        <v>15000000</v>
      </c>
      <c r="H278" s="554">
        <v>4.37</v>
      </c>
    </row>
    <row r="279" spans="1:8" ht="15" customHeight="1">
      <c r="A279" s="219">
        <v>1147</v>
      </c>
      <c r="B279" s="218" t="s">
        <v>1041</v>
      </c>
      <c r="C279" s="218" t="s">
        <v>1042</v>
      </c>
      <c r="D279" s="559">
        <v>46.227397260273975</v>
      </c>
      <c r="E279" s="543">
        <v>41688</v>
      </c>
      <c r="F279" s="558">
        <v>58561</v>
      </c>
      <c r="G279" s="557">
        <v>20000000</v>
      </c>
      <c r="H279" s="554">
        <v>3.62</v>
      </c>
    </row>
    <row r="280" spans="1:8" ht="15" customHeight="1">
      <c r="A280" s="219">
        <v>1150</v>
      </c>
      <c r="B280" s="218" t="s">
        <v>1041</v>
      </c>
      <c r="C280" s="218" t="s">
        <v>1042</v>
      </c>
      <c r="D280" s="559">
        <v>46.18904109589041</v>
      </c>
      <c r="E280" s="543">
        <v>41703</v>
      </c>
      <c r="F280" s="558">
        <v>58562</v>
      </c>
      <c r="G280" s="557">
        <v>20000000</v>
      </c>
      <c r="H280" s="554">
        <v>3.52</v>
      </c>
    </row>
    <row r="281" spans="1:8" ht="15" customHeight="1">
      <c r="A281" s="219">
        <v>1152</v>
      </c>
      <c r="B281" s="218" t="s">
        <v>1041</v>
      </c>
      <c r="C281" s="218" t="s">
        <v>1042</v>
      </c>
      <c r="D281" s="559">
        <v>46.054794520547944</v>
      </c>
      <c r="E281" s="543">
        <v>41843</v>
      </c>
      <c r="F281" s="558">
        <v>58653</v>
      </c>
      <c r="G281" s="557">
        <v>30000000</v>
      </c>
      <c r="H281" s="554">
        <v>3.38</v>
      </c>
    </row>
    <row r="282" spans="1:8" ht="15" customHeight="1">
      <c r="A282" s="219">
        <v>1115</v>
      </c>
      <c r="B282" s="218" t="s">
        <v>1041</v>
      </c>
      <c r="C282" s="218" t="s">
        <v>1042</v>
      </c>
      <c r="D282" s="559">
        <v>49.926027397260277</v>
      </c>
      <c r="E282" s="543">
        <v>40492</v>
      </c>
      <c r="F282" s="558">
        <v>58715</v>
      </c>
      <c r="G282" s="557">
        <v>15000000</v>
      </c>
      <c r="H282" s="554">
        <v>4.2700000000000005</v>
      </c>
    </row>
    <row r="283" spans="1:8" ht="15" customHeight="1">
      <c r="A283" s="219">
        <v>1143</v>
      </c>
      <c r="B283" s="218" t="s">
        <v>1041</v>
      </c>
      <c r="C283" s="218" t="s">
        <v>1042</v>
      </c>
      <c r="D283" s="559">
        <v>47.010958904109586</v>
      </c>
      <c r="E283" s="548">
        <v>41556</v>
      </c>
      <c r="F283" s="558">
        <v>58715</v>
      </c>
      <c r="G283" s="557">
        <v>20000000</v>
      </c>
      <c r="H283" s="554">
        <v>3.5999999999999996</v>
      </c>
    </row>
    <row r="284" spans="1:8" ht="15" customHeight="1">
      <c r="A284" s="219">
        <v>1175</v>
      </c>
      <c r="B284" s="218" t="s">
        <v>1041</v>
      </c>
      <c r="C284" s="218" t="s">
        <v>1042</v>
      </c>
      <c r="D284" s="559">
        <v>44.035616438356165</v>
      </c>
      <c r="E284" s="543">
        <v>42823</v>
      </c>
      <c r="F284" s="558">
        <v>58896</v>
      </c>
      <c r="G284" s="557">
        <v>10000000</v>
      </c>
      <c r="H284" s="554">
        <v>1.7000000000000002</v>
      </c>
    </row>
    <row r="285" spans="1:8" ht="15" customHeight="1">
      <c r="A285" s="219">
        <v>1149</v>
      </c>
      <c r="B285" s="218" t="s">
        <v>1041</v>
      </c>
      <c r="C285" s="218" t="s">
        <v>1042</v>
      </c>
      <c r="D285" s="559">
        <v>47.205479452054796</v>
      </c>
      <c r="E285" s="543">
        <v>41696</v>
      </c>
      <c r="F285" s="558">
        <v>58926</v>
      </c>
      <c r="G285" s="557">
        <v>20000000</v>
      </c>
      <c r="H285" s="554">
        <v>3.5999999999999996</v>
      </c>
    </row>
    <row r="286" spans="1:8" ht="15" customHeight="1">
      <c r="A286" s="219">
        <v>1148</v>
      </c>
      <c r="B286" s="218" t="s">
        <v>1041</v>
      </c>
      <c r="C286" s="218" t="s">
        <v>1042</v>
      </c>
      <c r="D286" s="559">
        <v>47.265753424657532</v>
      </c>
      <c r="E286" s="543">
        <v>41689</v>
      </c>
      <c r="F286" s="558">
        <v>58941</v>
      </c>
      <c r="G286" s="557">
        <v>20000000</v>
      </c>
      <c r="H286" s="554">
        <v>3.5999999999999996</v>
      </c>
    </row>
    <row r="287" spans="1:8" ht="15" customHeight="1">
      <c r="A287" s="219">
        <v>1151</v>
      </c>
      <c r="B287" s="218" t="s">
        <v>1041</v>
      </c>
      <c r="C287" s="218" t="s">
        <v>1042</v>
      </c>
      <c r="D287" s="559">
        <v>47.098630136986301</v>
      </c>
      <c r="E287" s="543">
        <v>41821</v>
      </c>
      <c r="F287" s="558">
        <v>59012</v>
      </c>
      <c r="G287" s="557">
        <v>30000000</v>
      </c>
      <c r="H287" s="554">
        <v>3.44</v>
      </c>
    </row>
    <row r="288" spans="1:8" ht="15" customHeight="1">
      <c r="A288" s="219">
        <v>1138</v>
      </c>
      <c r="B288" s="218" t="s">
        <v>1041</v>
      </c>
      <c r="C288" s="218" t="s">
        <v>1042</v>
      </c>
      <c r="D288" s="559">
        <v>48.049315068493151</v>
      </c>
      <c r="E288" s="543">
        <v>41480</v>
      </c>
      <c r="F288" s="558">
        <v>59018</v>
      </c>
      <c r="G288" s="557">
        <v>15000000</v>
      </c>
      <c r="H288" s="554">
        <v>3.61</v>
      </c>
    </row>
    <row r="289" spans="1:8" ht="15" customHeight="1">
      <c r="A289" s="549">
        <v>1162</v>
      </c>
      <c r="B289" s="218" t="s">
        <v>1041</v>
      </c>
      <c r="C289" s="218" t="s">
        <v>1042</v>
      </c>
      <c r="D289" s="559">
        <v>45.087671232876716</v>
      </c>
      <c r="E289" s="543">
        <v>42683</v>
      </c>
      <c r="F289" s="558">
        <v>59140</v>
      </c>
      <c r="G289" s="557">
        <v>10000000</v>
      </c>
      <c r="H289" s="554">
        <v>1.76</v>
      </c>
    </row>
    <row r="290" spans="1:8" ht="15" customHeight="1">
      <c r="A290" s="549">
        <v>1193</v>
      </c>
      <c r="B290" s="218" t="s">
        <v>1041</v>
      </c>
      <c r="C290" s="218" t="s">
        <v>1042</v>
      </c>
      <c r="D290" s="559">
        <v>43.07123287671233</v>
      </c>
      <c r="E290" s="543">
        <v>43431</v>
      </c>
      <c r="F290" s="558">
        <v>59152</v>
      </c>
      <c r="G290" s="557">
        <v>15000000</v>
      </c>
      <c r="H290" s="554">
        <v>1.96</v>
      </c>
    </row>
    <row r="291" spans="1:8" ht="15" customHeight="1">
      <c r="A291" s="549">
        <v>1199</v>
      </c>
      <c r="B291" s="218" t="s">
        <v>1041</v>
      </c>
      <c r="C291" s="218" t="s">
        <v>1042</v>
      </c>
      <c r="D291" s="559">
        <v>43.090410958904108</v>
      </c>
      <c r="E291" s="543">
        <v>43474</v>
      </c>
      <c r="F291" s="558">
        <v>59202</v>
      </c>
      <c r="G291" s="557">
        <v>20000000</v>
      </c>
      <c r="H291" s="554">
        <v>1.8</v>
      </c>
    </row>
    <row r="292" spans="1:8" ht="15" customHeight="1">
      <c r="A292" s="219">
        <v>1173</v>
      </c>
      <c r="B292" s="218" t="s">
        <v>1041</v>
      </c>
      <c r="C292" s="218" t="s">
        <v>1042</v>
      </c>
      <c r="D292" s="559">
        <v>45.049315068493151</v>
      </c>
      <c r="E292" s="543">
        <v>42818</v>
      </c>
      <c r="F292" s="558">
        <v>59261</v>
      </c>
      <c r="G292" s="557">
        <v>15000000</v>
      </c>
      <c r="H292" s="554">
        <v>1.73</v>
      </c>
    </row>
    <row r="293" spans="1:8" ht="15" customHeight="1">
      <c r="A293" s="219">
        <v>1136</v>
      </c>
      <c r="B293" s="218" t="s">
        <v>1041</v>
      </c>
      <c r="C293" s="218" t="s">
        <v>1042</v>
      </c>
      <c r="D293" s="559">
        <v>49.090410958904108</v>
      </c>
      <c r="E293" s="543">
        <v>41344</v>
      </c>
      <c r="F293" s="558">
        <v>59262</v>
      </c>
      <c r="G293" s="557">
        <v>20000000</v>
      </c>
      <c r="H293" s="554">
        <v>3.51</v>
      </c>
    </row>
    <row r="294" spans="1:8" ht="15" customHeight="1">
      <c r="A294" s="549">
        <v>1128</v>
      </c>
      <c r="B294" s="218" t="s">
        <v>1041</v>
      </c>
      <c r="C294" s="218" t="s">
        <v>1042</v>
      </c>
      <c r="D294" s="559">
        <v>49.775342465753425</v>
      </c>
      <c r="E294" s="543">
        <v>41184</v>
      </c>
      <c r="F294" s="547">
        <v>59352</v>
      </c>
      <c r="G294" s="557">
        <v>20000000</v>
      </c>
      <c r="H294" s="554">
        <v>3.26</v>
      </c>
    </row>
    <row r="295" spans="1:8" ht="15" customHeight="1">
      <c r="A295" s="549">
        <v>1129</v>
      </c>
      <c r="B295" s="218" t="s">
        <v>1041</v>
      </c>
      <c r="C295" s="218" t="s">
        <v>1042</v>
      </c>
      <c r="D295" s="559">
        <v>49.849315068493148</v>
      </c>
      <c r="E295" s="543">
        <v>41187</v>
      </c>
      <c r="F295" s="547">
        <v>59382</v>
      </c>
      <c r="G295" s="557">
        <v>20000000</v>
      </c>
      <c r="H295" s="554">
        <v>3.27</v>
      </c>
    </row>
    <row r="296" spans="1:8" ht="15" customHeight="1">
      <c r="A296" s="549">
        <v>1131</v>
      </c>
      <c r="B296" s="218" t="s">
        <v>1041</v>
      </c>
      <c r="C296" s="218" t="s">
        <v>1042</v>
      </c>
      <c r="D296" s="559">
        <v>49.561643835616437</v>
      </c>
      <c r="E296" s="543">
        <v>41292</v>
      </c>
      <c r="F296" s="547">
        <v>59382</v>
      </c>
      <c r="G296" s="557">
        <v>15000000</v>
      </c>
      <c r="H296" s="554">
        <v>3.4299999999999997</v>
      </c>
    </row>
    <row r="297" spans="1:8" ht="15" customHeight="1">
      <c r="A297" s="549">
        <v>1203</v>
      </c>
      <c r="B297" s="218" t="s">
        <v>1041</v>
      </c>
      <c r="C297" s="218" t="s">
        <v>1042</v>
      </c>
      <c r="D297" s="559">
        <v>43.638356164383559</v>
      </c>
      <c r="E297" s="543">
        <v>43516</v>
      </c>
      <c r="F297" s="547">
        <v>59444</v>
      </c>
      <c r="G297" s="557">
        <v>20000000</v>
      </c>
      <c r="H297" s="554">
        <v>1.68</v>
      </c>
    </row>
    <row r="298" spans="1:8" ht="15" customHeight="1">
      <c r="A298" s="549">
        <v>1198</v>
      </c>
      <c r="B298" s="218" t="s">
        <v>1041</v>
      </c>
      <c r="C298" s="218" t="s">
        <v>1042</v>
      </c>
      <c r="D298" s="559">
        <v>43.8</v>
      </c>
      <c r="E298" s="543">
        <v>43458</v>
      </c>
      <c r="F298" s="547">
        <v>59445</v>
      </c>
      <c r="G298" s="557">
        <v>15000000</v>
      </c>
      <c r="H298" s="554">
        <v>1.79</v>
      </c>
    </row>
    <row r="299" spans="1:8" ht="15" customHeight="1">
      <c r="A299" s="549">
        <v>1161</v>
      </c>
      <c r="B299" s="218" t="s">
        <v>1041</v>
      </c>
      <c r="C299" s="218" t="s">
        <v>1042</v>
      </c>
      <c r="D299" s="559">
        <v>46.087671232876716</v>
      </c>
      <c r="E299" s="543">
        <v>42683</v>
      </c>
      <c r="F299" s="558">
        <v>59505</v>
      </c>
      <c r="G299" s="557">
        <v>15000000</v>
      </c>
      <c r="H299" s="554">
        <v>1.76</v>
      </c>
    </row>
    <row r="300" spans="1:8" ht="12.75" customHeight="1">
      <c r="A300" s="549">
        <v>1191</v>
      </c>
      <c r="B300" s="218" t="s">
        <v>1041</v>
      </c>
      <c r="C300" s="218" t="s">
        <v>1042</v>
      </c>
      <c r="D300" s="559">
        <v>44.057534246575344</v>
      </c>
      <c r="E300" s="543">
        <v>43424</v>
      </c>
      <c r="F300" s="547">
        <v>59505</v>
      </c>
      <c r="G300" s="557">
        <v>15000000</v>
      </c>
      <c r="H300" s="554">
        <v>1.97</v>
      </c>
    </row>
    <row r="301" spans="1:8">
      <c r="A301" s="549">
        <v>1174</v>
      </c>
      <c r="B301" s="218" t="s">
        <v>1041</v>
      </c>
      <c r="C301" s="218" t="s">
        <v>1042</v>
      </c>
      <c r="D301" s="559">
        <v>46.049315068493151</v>
      </c>
      <c r="E301" s="543">
        <v>42818</v>
      </c>
      <c r="F301" s="547">
        <v>59626</v>
      </c>
      <c r="G301" s="557">
        <v>10000000</v>
      </c>
      <c r="H301" s="554">
        <v>1.73</v>
      </c>
    </row>
    <row r="302" spans="1:8">
      <c r="A302" s="549">
        <v>1139</v>
      </c>
      <c r="B302" s="218" t="s">
        <v>1041</v>
      </c>
      <c r="C302" s="218" t="s">
        <v>1042</v>
      </c>
      <c r="D302" s="559">
        <v>49.758904109589039</v>
      </c>
      <c r="E302" s="543">
        <v>41495</v>
      </c>
      <c r="F302" s="558">
        <v>59657</v>
      </c>
      <c r="G302" s="557">
        <v>10000000</v>
      </c>
      <c r="H302" s="554">
        <v>3.62</v>
      </c>
    </row>
    <row r="303" spans="1:8">
      <c r="A303" s="549">
        <v>1142</v>
      </c>
      <c r="B303" s="218" t="s">
        <v>1041</v>
      </c>
      <c r="C303" s="218" t="s">
        <v>1042</v>
      </c>
      <c r="D303" s="559">
        <v>49.605479452054794</v>
      </c>
      <c r="E303" s="548">
        <v>41551</v>
      </c>
      <c r="F303" s="558">
        <v>59657</v>
      </c>
      <c r="G303" s="557">
        <v>20000000</v>
      </c>
      <c r="H303" s="554">
        <v>3.56</v>
      </c>
    </row>
    <row r="304" spans="1:8">
      <c r="A304" s="549">
        <v>1192</v>
      </c>
      <c r="B304" s="218" t="s">
        <v>1041</v>
      </c>
      <c r="C304" s="218" t="s">
        <v>1042</v>
      </c>
      <c r="D304" s="559">
        <v>44.471232876712328</v>
      </c>
      <c r="E304" s="543">
        <v>43425</v>
      </c>
      <c r="F304" s="547">
        <v>59657</v>
      </c>
      <c r="G304" s="557">
        <v>15000000</v>
      </c>
      <c r="H304" s="554">
        <v>1.99</v>
      </c>
    </row>
    <row r="305" spans="1:8">
      <c r="A305" s="549">
        <v>1194</v>
      </c>
      <c r="B305" s="218" t="s">
        <v>1041</v>
      </c>
      <c r="C305" s="218" t="s">
        <v>1042</v>
      </c>
      <c r="D305" s="559">
        <v>44.536986301369865</v>
      </c>
      <c r="E305" s="543">
        <v>43432</v>
      </c>
      <c r="F305" s="558">
        <v>59688</v>
      </c>
      <c r="G305" s="557">
        <v>15000000</v>
      </c>
      <c r="H305" s="554">
        <v>1.97</v>
      </c>
    </row>
    <row r="306" spans="1:8">
      <c r="A306" s="549">
        <v>1200</v>
      </c>
      <c r="B306" s="218" t="s">
        <v>1041</v>
      </c>
      <c r="C306" s="218" t="s">
        <v>1042</v>
      </c>
      <c r="D306" s="559">
        <v>44.654794520547945</v>
      </c>
      <c r="E306" s="548">
        <v>43480</v>
      </c>
      <c r="F306" s="558">
        <v>59779</v>
      </c>
      <c r="G306" s="557">
        <v>20000000</v>
      </c>
      <c r="H306" s="554">
        <v>1.76</v>
      </c>
    </row>
    <row r="307" spans="1:8">
      <c r="A307" s="549">
        <v>1169</v>
      </c>
      <c r="B307" s="218" t="s">
        <v>1041</v>
      </c>
      <c r="C307" s="218" t="s">
        <v>1042</v>
      </c>
      <c r="D307" s="559">
        <v>46.594520547945208</v>
      </c>
      <c r="E307" s="543">
        <v>42787</v>
      </c>
      <c r="F307" s="558">
        <v>59794</v>
      </c>
      <c r="G307" s="557">
        <v>25000000</v>
      </c>
      <c r="H307" s="554">
        <v>1.8599999999999999</v>
      </c>
    </row>
    <row r="308" spans="1:8" ht="15" customHeight="1">
      <c r="A308" s="549">
        <v>1141</v>
      </c>
      <c r="B308" s="218" t="s">
        <v>1041</v>
      </c>
      <c r="C308" s="218" t="s">
        <v>1042</v>
      </c>
      <c r="D308" s="559">
        <v>50.024657534246572</v>
      </c>
      <c r="E308" s="727">
        <v>41551</v>
      </c>
      <c r="F308" s="558">
        <v>59810</v>
      </c>
      <c r="G308" s="557">
        <v>20000000</v>
      </c>
      <c r="H308" s="554">
        <v>3.56</v>
      </c>
    </row>
    <row r="309" spans="1:8">
      <c r="A309" s="549">
        <v>1160</v>
      </c>
      <c r="B309" s="218" t="s">
        <v>1041</v>
      </c>
      <c r="C309" s="218" t="s">
        <v>1042</v>
      </c>
      <c r="D309" s="559">
        <v>47.101369863013701</v>
      </c>
      <c r="E309" s="543">
        <v>42678</v>
      </c>
      <c r="F309" s="558">
        <v>59870</v>
      </c>
      <c r="G309" s="557">
        <v>25000000</v>
      </c>
      <c r="H309" s="554">
        <v>1.79</v>
      </c>
    </row>
    <row r="310" spans="1:8">
      <c r="A310" s="549">
        <v>1165</v>
      </c>
      <c r="B310" s="218" t="s">
        <v>1041</v>
      </c>
      <c r="C310" s="218" t="s">
        <v>1042</v>
      </c>
      <c r="D310" s="559">
        <v>47.032876712328765</v>
      </c>
      <c r="E310" s="543">
        <v>42725</v>
      </c>
      <c r="F310" s="558">
        <v>59892</v>
      </c>
      <c r="G310" s="557">
        <v>10000000</v>
      </c>
      <c r="H310" s="554">
        <v>1.9800000000000002</v>
      </c>
    </row>
    <row r="311" spans="1:8">
      <c r="A311" s="549">
        <v>1158</v>
      </c>
      <c r="B311" s="218" t="s">
        <v>1041</v>
      </c>
      <c r="C311" s="218" t="s">
        <v>1042</v>
      </c>
      <c r="D311" s="559">
        <v>47.526027397260272</v>
      </c>
      <c r="E311" s="548">
        <v>42646</v>
      </c>
      <c r="F311" s="558">
        <v>59993</v>
      </c>
      <c r="G311" s="557">
        <v>20000000</v>
      </c>
      <c r="H311" s="554">
        <v>1.4200000000000002</v>
      </c>
    </row>
    <row r="312" spans="1:8">
      <c r="A312" s="549">
        <v>1177</v>
      </c>
      <c r="B312" s="218" t="s">
        <v>1041</v>
      </c>
      <c r="C312" s="218" t="s">
        <v>1042</v>
      </c>
      <c r="D312" s="559">
        <v>46.627397260273973</v>
      </c>
      <c r="E312" s="543">
        <v>43084</v>
      </c>
      <c r="F312" s="558">
        <v>60103</v>
      </c>
      <c r="G312" s="557">
        <v>15000000</v>
      </c>
      <c r="H312" s="554">
        <v>1.69</v>
      </c>
    </row>
    <row r="313" spans="1:8">
      <c r="A313" s="549">
        <v>1159</v>
      </c>
      <c r="B313" s="218" t="s">
        <v>1041</v>
      </c>
      <c r="C313" s="218" t="s">
        <v>1042</v>
      </c>
      <c r="D313" s="559">
        <v>48.104109589041094</v>
      </c>
      <c r="E313" s="548">
        <v>42647</v>
      </c>
      <c r="F313" s="558">
        <v>60205</v>
      </c>
      <c r="G313" s="557">
        <v>16000000</v>
      </c>
      <c r="H313" s="554">
        <v>1.37</v>
      </c>
    </row>
    <row r="314" spans="1:8">
      <c r="A314" s="549">
        <v>1163</v>
      </c>
      <c r="B314" s="218" t="s">
        <v>1041</v>
      </c>
      <c r="C314" s="218" t="s">
        <v>1042</v>
      </c>
      <c r="D314" s="559">
        <v>48.049315068493151</v>
      </c>
      <c r="E314" s="543">
        <v>42718</v>
      </c>
      <c r="F314" s="547">
        <v>60256</v>
      </c>
      <c r="G314" s="557">
        <v>25000000</v>
      </c>
      <c r="H314" s="554">
        <v>2.0299999999999998</v>
      </c>
    </row>
    <row r="315" spans="1:8">
      <c r="A315" s="549">
        <v>1184</v>
      </c>
      <c r="B315" s="218" t="s">
        <v>1041</v>
      </c>
      <c r="C315" s="218" t="s">
        <v>1042</v>
      </c>
      <c r="D315" s="559">
        <v>46.978082191780821</v>
      </c>
      <c r="E315" s="543">
        <v>43140</v>
      </c>
      <c r="F315" s="547">
        <v>60287</v>
      </c>
      <c r="G315" s="557">
        <v>15000000</v>
      </c>
      <c r="H315" s="554">
        <v>1.83</v>
      </c>
    </row>
    <row r="316" spans="1:8">
      <c r="A316" s="549">
        <v>1164</v>
      </c>
      <c r="B316" s="218" t="s">
        <v>1041</v>
      </c>
      <c r="C316" s="218" t="s">
        <v>1042</v>
      </c>
      <c r="D316" s="559">
        <v>48.145205479452052</v>
      </c>
      <c r="E316" s="543">
        <v>42725</v>
      </c>
      <c r="F316" s="547">
        <v>60298</v>
      </c>
      <c r="G316" s="557">
        <v>15000000</v>
      </c>
      <c r="H316" s="554">
        <v>1.9800000000000002</v>
      </c>
    </row>
    <row r="317" spans="1:8">
      <c r="A317" s="549">
        <v>1171</v>
      </c>
      <c r="B317" s="218" t="s">
        <v>1041</v>
      </c>
      <c r="C317" s="218" t="s">
        <v>1042</v>
      </c>
      <c r="D317" s="559">
        <v>48.07123287671233</v>
      </c>
      <c r="E317" s="543">
        <v>42795</v>
      </c>
      <c r="F317" s="547">
        <v>60341</v>
      </c>
      <c r="G317" s="557">
        <v>25000000</v>
      </c>
      <c r="H317" s="554">
        <v>1.7500000000000002</v>
      </c>
    </row>
    <row r="318" spans="1:8">
      <c r="A318" s="549">
        <v>1187</v>
      </c>
      <c r="B318" s="218" t="s">
        <v>1041</v>
      </c>
      <c r="C318" s="218" t="s">
        <v>1042</v>
      </c>
      <c r="D318" s="559">
        <v>47.043835616438358</v>
      </c>
      <c r="E318" s="543">
        <v>43175</v>
      </c>
      <c r="F318" s="547">
        <v>60346</v>
      </c>
      <c r="G318" s="557">
        <v>20000000</v>
      </c>
      <c r="H318" s="554">
        <v>1.7500000000000002</v>
      </c>
    </row>
    <row r="319" spans="1:8">
      <c r="A319" s="549">
        <v>1176</v>
      </c>
      <c r="B319" s="218" t="s">
        <v>1041</v>
      </c>
      <c r="C319" s="218" t="s">
        <v>1042</v>
      </c>
      <c r="D319" s="559">
        <v>48.035616438356165</v>
      </c>
      <c r="E319" s="543">
        <v>42823</v>
      </c>
      <c r="F319" s="547">
        <v>60356</v>
      </c>
      <c r="G319" s="557">
        <v>16845500</v>
      </c>
      <c r="H319" s="554">
        <v>1.7000000000000002</v>
      </c>
    </row>
    <row r="320" spans="1:8">
      <c r="A320" s="549">
        <v>1190</v>
      </c>
      <c r="B320" s="218" t="s">
        <v>1041</v>
      </c>
      <c r="C320" s="218" t="s">
        <v>1042</v>
      </c>
      <c r="D320" s="559">
        <v>47.276712328767125</v>
      </c>
      <c r="E320" s="543">
        <v>43182</v>
      </c>
      <c r="F320" s="547">
        <v>60438</v>
      </c>
      <c r="G320" s="557">
        <v>12649400</v>
      </c>
      <c r="H320" s="554">
        <v>1.6500000000000001</v>
      </c>
    </row>
    <row r="321" spans="1:8">
      <c r="A321" s="549">
        <v>1156</v>
      </c>
      <c r="B321" s="218" t="s">
        <v>1041</v>
      </c>
      <c r="C321" s="218" t="s">
        <v>1042</v>
      </c>
      <c r="D321" s="559">
        <v>49.758904109589039</v>
      </c>
      <c r="E321" s="548">
        <v>42440</v>
      </c>
      <c r="F321" s="547">
        <v>60602</v>
      </c>
      <c r="G321" s="557">
        <v>40000000</v>
      </c>
      <c r="H321" s="554">
        <v>2.25</v>
      </c>
    </row>
    <row r="322" spans="1:8">
      <c r="A322" s="549">
        <v>1157</v>
      </c>
      <c r="B322" s="218" t="s">
        <v>1041</v>
      </c>
      <c r="C322" s="218" t="s">
        <v>1042</v>
      </c>
      <c r="D322" s="559">
        <v>49.871232876712327</v>
      </c>
      <c r="E322" s="548">
        <v>42443</v>
      </c>
      <c r="F322" s="547">
        <v>60646</v>
      </c>
      <c r="G322" s="557">
        <v>20000000</v>
      </c>
      <c r="H322" s="554">
        <v>2.2399999999999998</v>
      </c>
    </row>
    <row r="323" spans="1:8">
      <c r="A323" s="549">
        <v>1155</v>
      </c>
      <c r="B323" s="218" t="s">
        <v>1041</v>
      </c>
      <c r="C323" s="218" t="s">
        <v>1042</v>
      </c>
      <c r="D323" s="559">
        <v>49.934246575342463</v>
      </c>
      <c r="E323" s="548">
        <v>42438</v>
      </c>
      <c r="F323" s="547">
        <v>60664</v>
      </c>
      <c r="G323" s="557">
        <v>40000000</v>
      </c>
      <c r="H323" s="554">
        <v>2.2999999999999998</v>
      </c>
    </row>
    <row r="324" spans="1:8">
      <c r="A324" s="549">
        <v>1186</v>
      </c>
      <c r="B324" s="218" t="s">
        <v>1041</v>
      </c>
      <c r="C324" s="218" t="s">
        <v>1042</v>
      </c>
      <c r="D324" s="559">
        <v>48.084931506849315</v>
      </c>
      <c r="E324" s="543">
        <v>43165</v>
      </c>
      <c r="F324" s="547">
        <v>60716</v>
      </c>
      <c r="G324" s="557">
        <v>20000000</v>
      </c>
      <c r="H324" s="554">
        <v>1.72</v>
      </c>
    </row>
    <row r="325" spans="1:8">
      <c r="A325" s="546" t="s">
        <v>1049</v>
      </c>
      <c r="B325" s="218" t="s">
        <v>1041</v>
      </c>
      <c r="C325" s="218" t="s">
        <v>1042</v>
      </c>
      <c r="D325" s="559">
        <v>48.358904109589041</v>
      </c>
      <c r="E325" s="543">
        <v>43182</v>
      </c>
      <c r="F325" s="558">
        <v>60833</v>
      </c>
      <c r="G325" s="557">
        <v>20000000</v>
      </c>
      <c r="H325" s="554">
        <v>1.6500000000000001</v>
      </c>
    </row>
    <row r="326" spans="1:8">
      <c r="A326" s="545" t="s">
        <v>1050</v>
      </c>
      <c r="B326" s="218" t="s">
        <v>1041</v>
      </c>
      <c r="C326" s="218" t="s">
        <v>1042</v>
      </c>
      <c r="D326" s="559">
        <v>49.739726027397261</v>
      </c>
      <c r="E326" s="543">
        <v>42751</v>
      </c>
      <c r="F326" s="547">
        <v>60906</v>
      </c>
      <c r="G326" s="557">
        <v>15000000</v>
      </c>
      <c r="H326" s="554">
        <v>1.87</v>
      </c>
    </row>
    <row r="327" spans="1:8">
      <c r="A327" s="545" t="s">
        <v>1051</v>
      </c>
      <c r="B327" s="218" t="s">
        <v>1041</v>
      </c>
      <c r="C327" s="218" t="s">
        <v>1042</v>
      </c>
      <c r="D327" s="559">
        <v>49.832876712328769</v>
      </c>
      <c r="E327" s="543">
        <v>42748</v>
      </c>
      <c r="F327" s="547">
        <v>60937</v>
      </c>
      <c r="G327" s="557">
        <v>15000000</v>
      </c>
      <c r="H327" s="554">
        <v>1.8900000000000001</v>
      </c>
    </row>
    <row r="328" spans="1:8">
      <c r="A328" s="546" t="s">
        <v>1052</v>
      </c>
      <c r="B328" s="218" t="s">
        <v>1041</v>
      </c>
      <c r="C328" s="218" t="s">
        <v>1042</v>
      </c>
      <c r="D328" s="559">
        <v>49.920547945205477</v>
      </c>
      <c r="E328" s="543">
        <v>42746</v>
      </c>
      <c r="F328" s="558">
        <v>60967</v>
      </c>
      <c r="G328" s="557">
        <v>20000000</v>
      </c>
      <c r="H328" s="554">
        <v>1.8900000000000001</v>
      </c>
    </row>
    <row r="329" spans="1:8">
      <c r="A329" s="546" t="s">
        <v>1053</v>
      </c>
      <c r="B329" s="218" t="s">
        <v>1041</v>
      </c>
      <c r="C329" s="218" t="s">
        <v>1042</v>
      </c>
      <c r="D329" s="559">
        <v>49.843835616438355</v>
      </c>
      <c r="E329" s="543">
        <v>42788</v>
      </c>
      <c r="F329" s="558">
        <v>60981</v>
      </c>
      <c r="G329" s="557">
        <v>25000000</v>
      </c>
      <c r="H329" s="554">
        <v>1.8499999999999999</v>
      </c>
    </row>
    <row r="330" spans="1:8">
      <c r="A330" s="549">
        <v>1180</v>
      </c>
      <c r="B330" s="218" t="s">
        <v>1041</v>
      </c>
      <c r="C330" s="218" t="s">
        <v>1042</v>
      </c>
      <c r="D330" s="559">
        <v>49.052054794520551</v>
      </c>
      <c r="E330" s="543">
        <v>43123</v>
      </c>
      <c r="F330" s="547">
        <v>61027</v>
      </c>
      <c r="G330" s="557">
        <v>15000000</v>
      </c>
      <c r="H330" s="554">
        <v>1.72</v>
      </c>
    </row>
    <row r="331" spans="1:8">
      <c r="A331" s="219">
        <v>1183</v>
      </c>
      <c r="B331" s="218" t="s">
        <v>1041</v>
      </c>
      <c r="C331" s="218" t="s">
        <v>1042</v>
      </c>
      <c r="D331" s="559">
        <v>49.016438356164386</v>
      </c>
      <c r="E331" s="543">
        <v>43137</v>
      </c>
      <c r="F331" s="547">
        <v>61028</v>
      </c>
      <c r="G331" s="557">
        <v>15000000</v>
      </c>
      <c r="H331" s="554">
        <v>1.8399999999999999</v>
      </c>
    </row>
    <row r="332" spans="1:8">
      <c r="A332" s="545">
        <v>1172</v>
      </c>
      <c r="B332" s="218" t="s">
        <v>1041</v>
      </c>
      <c r="C332" s="218" t="s">
        <v>1042</v>
      </c>
      <c r="D332" s="559">
        <v>49.975342465753428</v>
      </c>
      <c r="E332" s="543">
        <v>42816</v>
      </c>
      <c r="F332" s="547">
        <v>61057</v>
      </c>
      <c r="G332" s="557">
        <v>30000000</v>
      </c>
      <c r="H332" s="554">
        <v>1.77</v>
      </c>
    </row>
    <row r="333" spans="1:8">
      <c r="A333" s="549">
        <v>1178</v>
      </c>
      <c r="B333" s="218" t="s">
        <v>1041</v>
      </c>
      <c r="C333" s="218" t="s">
        <v>1042</v>
      </c>
      <c r="D333" s="559">
        <v>49.797260273972604</v>
      </c>
      <c r="E333" s="543">
        <v>43084</v>
      </c>
      <c r="F333" s="558">
        <v>61260</v>
      </c>
      <c r="G333" s="557">
        <v>15000000</v>
      </c>
      <c r="H333" s="554">
        <v>1.69</v>
      </c>
    </row>
    <row r="334" spans="1:8">
      <c r="A334" s="545">
        <v>1182</v>
      </c>
      <c r="B334" s="218" t="s">
        <v>1041</v>
      </c>
      <c r="C334" s="218" t="s">
        <v>1042</v>
      </c>
      <c r="D334" s="559">
        <v>49.701369863013696</v>
      </c>
      <c r="E334" s="543">
        <v>43130</v>
      </c>
      <c r="F334" s="547">
        <v>61271</v>
      </c>
      <c r="G334" s="557">
        <v>20000000</v>
      </c>
      <c r="H334" s="554">
        <v>1.7399999999999998</v>
      </c>
    </row>
    <row r="335" spans="1:8">
      <c r="A335" s="549">
        <v>1179</v>
      </c>
      <c r="B335" s="218" t="s">
        <v>1041</v>
      </c>
      <c r="C335" s="218" t="s">
        <v>1042</v>
      </c>
      <c r="D335" s="559">
        <v>49.865753424657534</v>
      </c>
      <c r="E335" s="543">
        <v>43088</v>
      </c>
      <c r="F335" s="558">
        <v>61289</v>
      </c>
      <c r="G335" s="557">
        <v>20000000</v>
      </c>
      <c r="H335" s="554">
        <v>1.6099999999999999</v>
      </c>
    </row>
    <row r="336" spans="1:8">
      <c r="A336" s="549">
        <v>1195</v>
      </c>
      <c r="B336" s="218" t="s">
        <v>1041</v>
      </c>
      <c r="C336" s="218" t="s">
        <v>1042</v>
      </c>
      <c r="D336" s="559">
        <v>49.008219178082193</v>
      </c>
      <c r="E336" s="728">
        <v>43444</v>
      </c>
      <c r="F336" s="728">
        <v>61332</v>
      </c>
      <c r="G336" s="557">
        <v>15000000</v>
      </c>
      <c r="H336" s="554">
        <v>1.92</v>
      </c>
    </row>
    <row r="337" spans="1:8">
      <c r="A337" s="219">
        <v>1185</v>
      </c>
      <c r="B337" s="218" t="s">
        <v>1041</v>
      </c>
      <c r="C337" s="218" t="s">
        <v>1042</v>
      </c>
      <c r="D337" s="559">
        <v>49.838356164383562</v>
      </c>
      <c r="E337" s="543">
        <v>43150</v>
      </c>
      <c r="F337" s="547">
        <v>61341</v>
      </c>
      <c r="G337" s="557">
        <v>20000000</v>
      </c>
      <c r="H337" s="554">
        <v>1.92</v>
      </c>
    </row>
    <row r="338" spans="1:8">
      <c r="A338" s="549">
        <v>1181</v>
      </c>
      <c r="B338" s="218" t="s">
        <v>1041</v>
      </c>
      <c r="C338" s="218" t="s">
        <v>1042</v>
      </c>
      <c r="D338" s="559">
        <v>49.936986301369863</v>
      </c>
      <c r="E338" s="543">
        <v>43124</v>
      </c>
      <c r="F338" s="547">
        <v>61351</v>
      </c>
      <c r="G338" s="557">
        <v>15000000</v>
      </c>
      <c r="H338" s="554">
        <v>1.72</v>
      </c>
    </row>
    <row r="339" spans="1:8">
      <c r="A339" s="549">
        <v>1202</v>
      </c>
      <c r="B339" s="218" t="s">
        <v>1041</v>
      </c>
      <c r="C339" s="218" t="s">
        <v>1042</v>
      </c>
      <c r="D339" s="559">
        <v>48.906849315068492</v>
      </c>
      <c r="E339" s="543">
        <v>43500</v>
      </c>
      <c r="F339" s="547">
        <v>61351</v>
      </c>
      <c r="G339" s="557">
        <v>20000000</v>
      </c>
      <c r="H339" s="554">
        <v>1.7</v>
      </c>
    </row>
    <row r="340" spans="1:8">
      <c r="A340" s="549">
        <v>1197</v>
      </c>
      <c r="B340" s="218" t="s">
        <v>1041</v>
      </c>
      <c r="C340" s="218" t="s">
        <v>1042</v>
      </c>
      <c r="D340" s="559">
        <v>49.172602739726024</v>
      </c>
      <c r="E340" s="543">
        <v>43446</v>
      </c>
      <c r="F340" s="547">
        <v>61394</v>
      </c>
      <c r="G340" s="557">
        <v>15000000</v>
      </c>
      <c r="H340" s="554">
        <v>1.78</v>
      </c>
    </row>
    <row r="341" spans="1:8">
      <c r="A341" s="219">
        <v>1188</v>
      </c>
      <c r="B341" s="218" t="s">
        <v>1041</v>
      </c>
      <c r="C341" s="218" t="s">
        <v>1042</v>
      </c>
      <c r="D341" s="559">
        <v>49.980821917808221</v>
      </c>
      <c r="E341" s="543">
        <v>43180</v>
      </c>
      <c r="F341" s="547">
        <v>61423</v>
      </c>
      <c r="G341" s="557">
        <v>20000000</v>
      </c>
      <c r="H341" s="554">
        <v>1.67</v>
      </c>
    </row>
    <row r="342" spans="1:8">
      <c r="A342" s="219">
        <v>1206</v>
      </c>
      <c r="B342" s="218" t="s">
        <v>1041</v>
      </c>
      <c r="C342" s="218" t="s">
        <v>1042</v>
      </c>
      <c r="D342" s="559">
        <v>49.665753424657531</v>
      </c>
      <c r="E342" s="543">
        <v>43539</v>
      </c>
      <c r="F342" s="547">
        <v>61667</v>
      </c>
      <c r="G342" s="557">
        <v>28291000</v>
      </c>
      <c r="H342" s="554">
        <v>1.72</v>
      </c>
    </row>
    <row r="343" spans="1:8">
      <c r="A343" s="219">
        <v>1196</v>
      </c>
      <c r="B343" s="218" t="s">
        <v>1041</v>
      </c>
      <c r="C343" s="218" t="s">
        <v>1042</v>
      </c>
      <c r="D343" s="559">
        <v>50.010958904109586</v>
      </c>
      <c r="E343" s="543">
        <v>43444</v>
      </c>
      <c r="F343" s="547">
        <v>61698</v>
      </c>
      <c r="G343" s="557">
        <v>15000000</v>
      </c>
      <c r="H343" s="554">
        <v>1.92</v>
      </c>
    </row>
    <row r="344" spans="1:8">
      <c r="A344" s="219">
        <v>1201</v>
      </c>
      <c r="B344" s="218" t="s">
        <v>1041</v>
      </c>
      <c r="C344" s="218" t="s">
        <v>1042</v>
      </c>
      <c r="D344" s="559">
        <v>50</v>
      </c>
      <c r="E344" s="543">
        <v>43488</v>
      </c>
      <c r="F344" s="547">
        <v>61738</v>
      </c>
      <c r="G344" s="557">
        <v>20000000</v>
      </c>
      <c r="H344" s="554">
        <v>1.83</v>
      </c>
    </row>
    <row r="345" spans="1:8">
      <c r="A345" s="219">
        <v>1204</v>
      </c>
      <c r="B345" s="218" t="s">
        <v>1041</v>
      </c>
      <c r="C345" s="218" t="s">
        <v>1042</v>
      </c>
      <c r="D345" s="559">
        <v>49.93150684931507</v>
      </c>
      <c r="E345" s="543">
        <v>43518</v>
      </c>
      <c r="F345" s="547">
        <v>61743</v>
      </c>
      <c r="G345" s="557">
        <v>20000000</v>
      </c>
      <c r="H345" s="554">
        <v>1.7</v>
      </c>
    </row>
    <row r="346" spans="1:8">
      <c r="A346" s="219">
        <v>1205</v>
      </c>
      <c r="B346" s="218" t="s">
        <v>1041</v>
      </c>
      <c r="C346" s="218" t="s">
        <v>1042</v>
      </c>
      <c r="D346" s="559">
        <v>49.926027397260277</v>
      </c>
      <c r="E346" s="543">
        <v>43536</v>
      </c>
      <c r="F346" s="547">
        <v>61759</v>
      </c>
      <c r="G346" s="557">
        <v>20000000</v>
      </c>
      <c r="H346" s="554">
        <v>1.67</v>
      </c>
    </row>
    <row r="347" spans="1:8">
      <c r="A347" s="219"/>
      <c r="B347" s="218"/>
      <c r="C347" s="218"/>
      <c r="D347" s="559"/>
      <c r="E347" s="543"/>
      <c r="F347" s="547"/>
      <c r="G347" s="544"/>
      <c r="H347" s="554"/>
    </row>
    <row r="348" spans="1:8">
      <c r="A348" s="219"/>
      <c r="B348" s="218"/>
      <c r="C348" s="218"/>
      <c r="D348" s="559"/>
      <c r="E348" s="543"/>
      <c r="F348" s="547"/>
      <c r="G348" s="544"/>
      <c r="H348" s="554"/>
    </row>
    <row r="349" spans="1:8">
      <c r="A349" s="219"/>
      <c r="B349" s="218"/>
      <c r="C349" s="218"/>
      <c r="D349" s="559"/>
      <c r="E349" s="543"/>
      <c r="F349" s="547"/>
      <c r="G349" s="544"/>
      <c r="H349" s="554"/>
    </row>
    <row r="350" spans="1:8">
      <c r="A350" s="219"/>
      <c r="B350" s="218"/>
      <c r="C350" s="218"/>
      <c r="D350" s="559"/>
      <c r="E350" s="543"/>
      <c r="F350" s="547"/>
      <c r="G350" s="544"/>
      <c r="H350" s="554"/>
    </row>
    <row r="351" spans="1:8">
      <c r="A351" s="219"/>
      <c r="B351" s="218"/>
      <c r="C351" s="218"/>
      <c r="D351" s="559"/>
      <c r="E351" s="543"/>
      <c r="F351" s="547"/>
      <c r="G351" s="544"/>
      <c r="H351" s="554"/>
    </row>
    <row r="352" spans="1:8">
      <c r="A352" s="219"/>
      <c r="B352" s="218"/>
      <c r="C352" s="218"/>
      <c r="D352" s="559"/>
      <c r="E352" s="543"/>
      <c r="F352" s="547"/>
      <c r="G352" s="544"/>
      <c r="H352" s="554"/>
    </row>
    <row r="353" spans="1:8">
      <c r="A353" s="219"/>
      <c r="B353" s="218"/>
      <c r="C353" s="218"/>
      <c r="D353" s="218"/>
      <c r="E353" s="504"/>
      <c r="F353" s="504"/>
      <c r="G353" s="505"/>
      <c r="H353" s="506"/>
    </row>
    <row r="354" spans="1:8">
      <c r="A354" s="219"/>
      <c r="B354" s="218"/>
      <c r="C354" s="218"/>
      <c r="D354" s="218"/>
      <c r="E354" s="504"/>
      <c r="F354" s="504"/>
      <c r="G354" s="505"/>
      <c r="H354" s="506"/>
    </row>
    <row r="355" spans="1:8">
      <c r="A355" s="219"/>
      <c r="B355" s="218"/>
      <c r="C355" s="218"/>
      <c r="D355" s="218"/>
      <c r="E355" s="504"/>
      <c r="F355" s="504"/>
      <c r="G355" s="505"/>
      <c r="H355" s="506"/>
    </row>
    <row r="356" spans="1:8">
      <c r="A356" s="219"/>
      <c r="B356" s="218"/>
      <c r="C356" s="218"/>
      <c r="D356" s="218"/>
      <c r="E356" s="504"/>
      <c r="F356" s="504"/>
      <c r="G356" s="505"/>
      <c r="H356" s="506"/>
    </row>
    <row r="357" spans="1:8">
      <c r="A357" s="219"/>
      <c r="B357" s="218"/>
      <c r="C357" s="218"/>
      <c r="D357" s="218"/>
      <c r="E357" s="504"/>
      <c r="F357" s="504"/>
      <c r="G357" s="505"/>
      <c r="H357" s="506"/>
    </row>
    <row r="358" spans="1:8">
      <c r="A358" s="219"/>
      <c r="B358" s="218"/>
      <c r="C358" s="218"/>
      <c r="D358" s="218"/>
      <c r="E358" s="504"/>
      <c r="F358" s="504"/>
      <c r="G358" s="505"/>
      <c r="H358" s="506"/>
    </row>
    <row r="359" spans="1:8">
      <c r="A359" s="219"/>
      <c r="B359" s="218"/>
      <c r="C359" s="218"/>
      <c r="D359" s="218"/>
      <c r="E359" s="504"/>
      <c r="F359" s="504"/>
      <c r="G359" s="505"/>
      <c r="H359" s="506"/>
    </row>
    <row r="360" spans="1:8">
      <c r="A360" s="219"/>
      <c r="B360" s="218"/>
      <c r="C360" s="218"/>
      <c r="D360" s="218"/>
      <c r="E360" s="504"/>
      <c r="F360" s="504"/>
      <c r="G360" s="505"/>
      <c r="H360" s="506"/>
    </row>
    <row r="361" spans="1:8">
      <c r="A361" s="219"/>
      <c r="B361" s="218"/>
      <c r="C361" s="218"/>
      <c r="D361" s="218"/>
      <c r="E361" s="504"/>
      <c r="F361" s="504"/>
      <c r="G361" s="505"/>
      <c r="H361" s="506"/>
    </row>
    <row r="362" spans="1:8">
      <c r="A362" s="219"/>
      <c r="B362" s="218"/>
      <c r="C362" s="218"/>
      <c r="D362" s="218"/>
      <c r="E362" s="504"/>
      <c r="F362" s="504"/>
      <c r="G362" s="505"/>
      <c r="H362" s="506"/>
    </row>
    <row r="363" spans="1:8">
      <c r="A363" s="219"/>
      <c r="B363" s="218"/>
      <c r="C363" s="218"/>
      <c r="D363" s="218"/>
      <c r="E363" s="504"/>
      <c r="F363" s="504"/>
      <c r="G363" s="505"/>
      <c r="H363" s="506"/>
    </row>
    <row r="364" spans="1:8">
      <c r="A364" s="219"/>
      <c r="B364" s="218"/>
      <c r="C364" s="218"/>
      <c r="D364" s="218"/>
      <c r="E364" s="504"/>
      <c r="F364" s="504"/>
      <c r="G364" s="505"/>
      <c r="H364" s="506"/>
    </row>
    <row r="365" spans="1:8">
      <c r="A365" s="219"/>
      <c r="B365" s="218"/>
      <c r="C365" s="218"/>
      <c r="D365" s="218"/>
      <c r="E365" s="504"/>
      <c r="F365" s="504"/>
      <c r="G365" s="505"/>
      <c r="H365" s="506"/>
    </row>
    <row r="366" spans="1:8">
      <c r="A366" s="219"/>
      <c r="B366" s="218"/>
      <c r="C366" s="218"/>
      <c r="D366" s="218"/>
      <c r="E366" s="504"/>
      <c r="F366" s="504"/>
      <c r="G366" s="505"/>
      <c r="H366" s="506"/>
    </row>
    <row r="367" spans="1:8">
      <c r="A367" s="219"/>
      <c r="B367" s="218"/>
      <c r="C367" s="218"/>
      <c r="D367" s="218"/>
      <c r="E367" s="504"/>
      <c r="F367" s="504"/>
      <c r="G367" s="505"/>
      <c r="H367" s="506"/>
    </row>
    <row r="368" spans="1:8">
      <c r="A368" s="219"/>
      <c r="B368" s="218"/>
      <c r="C368" s="218"/>
      <c r="D368" s="218"/>
      <c r="E368" s="504"/>
      <c r="F368" s="504"/>
      <c r="G368" s="505"/>
      <c r="H368" s="506"/>
    </row>
    <row r="369" spans="1:8">
      <c r="A369" s="219"/>
      <c r="B369" s="218"/>
      <c r="C369" s="218"/>
      <c r="D369" s="218"/>
      <c r="E369" s="504"/>
      <c r="F369" s="504"/>
      <c r="G369" s="505"/>
      <c r="H369" s="506"/>
    </row>
    <row r="370" spans="1:8">
      <c r="A370" s="219"/>
      <c r="B370" s="218"/>
      <c r="C370" s="218"/>
      <c r="D370" s="218"/>
      <c r="E370" s="504"/>
      <c r="F370" s="504"/>
      <c r="G370" s="505"/>
      <c r="H370" s="506"/>
    </row>
    <row r="371" spans="1:8">
      <c r="A371" s="219"/>
      <c r="B371" s="218"/>
      <c r="C371" s="218"/>
      <c r="D371" s="218"/>
      <c r="E371" s="504"/>
      <c r="F371" s="504"/>
      <c r="G371" s="505"/>
      <c r="H371" s="506"/>
    </row>
    <row r="372" spans="1:8">
      <c r="A372" s="219"/>
      <c r="B372" s="218"/>
      <c r="C372" s="218"/>
      <c r="D372" s="218"/>
      <c r="E372" s="504"/>
      <c r="F372" s="504"/>
      <c r="G372" s="505"/>
      <c r="H372" s="506"/>
    </row>
    <row r="373" spans="1:8">
      <c r="A373" s="219"/>
      <c r="B373" s="218"/>
      <c r="C373" s="218"/>
      <c r="D373" s="218"/>
      <c r="E373" s="504"/>
      <c r="F373" s="504"/>
      <c r="G373" s="505"/>
      <c r="H373" s="506"/>
    </row>
    <row r="374" spans="1:8">
      <c r="A374" s="219"/>
      <c r="B374" s="218"/>
      <c r="C374" s="218"/>
      <c r="D374" s="218"/>
      <c r="E374" s="504"/>
      <c r="F374" s="504"/>
      <c r="G374" s="505"/>
      <c r="H374" s="506"/>
    </row>
    <row r="375" spans="1:8">
      <c r="A375" s="219"/>
      <c r="B375" s="218"/>
      <c r="C375" s="218"/>
      <c r="D375" s="218"/>
      <c r="E375" s="504"/>
      <c r="F375" s="504"/>
      <c r="G375" s="505"/>
      <c r="H375" s="506"/>
    </row>
    <row r="376" spans="1:8">
      <c r="A376" s="219"/>
      <c r="B376" s="218"/>
      <c r="C376" s="218"/>
      <c r="D376" s="218"/>
      <c r="E376" s="504"/>
      <c r="F376" s="504"/>
      <c r="G376" s="505"/>
      <c r="H376" s="506"/>
    </row>
    <row r="377" spans="1:8">
      <c r="A377" s="219"/>
      <c r="B377" s="218"/>
      <c r="C377" s="218"/>
      <c r="D377" s="218"/>
      <c r="E377" s="504"/>
      <c r="F377" s="504"/>
      <c r="G377" s="505"/>
      <c r="H377" s="506"/>
    </row>
    <row r="378" spans="1:8">
      <c r="A378" s="219"/>
      <c r="B378" s="218"/>
      <c r="C378" s="218"/>
      <c r="D378" s="218"/>
      <c r="E378" s="504"/>
      <c r="F378" s="504"/>
      <c r="G378" s="505"/>
      <c r="H378" s="506"/>
    </row>
    <row r="379" spans="1:8">
      <c r="A379" s="219"/>
      <c r="B379" s="218"/>
      <c r="C379" s="218"/>
      <c r="D379" s="218"/>
      <c r="E379" s="504"/>
      <c r="F379" s="504"/>
      <c r="G379" s="505"/>
      <c r="H379" s="506"/>
    </row>
    <row r="380" spans="1:8">
      <c r="A380" s="219"/>
      <c r="B380" s="218"/>
      <c r="C380" s="218"/>
      <c r="D380" s="218"/>
      <c r="E380" s="504"/>
      <c r="F380" s="504"/>
      <c r="G380" s="505"/>
      <c r="H380" s="506"/>
    </row>
    <row r="381" spans="1:8">
      <c r="A381" s="219"/>
      <c r="B381" s="218"/>
      <c r="C381" s="218"/>
      <c r="D381" s="218"/>
      <c r="E381" s="504"/>
      <c r="F381" s="504"/>
      <c r="G381" s="505"/>
      <c r="H381" s="506"/>
    </row>
    <row r="382" spans="1:8">
      <c r="A382" s="219"/>
      <c r="B382" s="218"/>
      <c r="C382" s="218"/>
      <c r="D382" s="218"/>
      <c r="E382" s="504"/>
      <c r="F382" s="504"/>
      <c r="G382" s="505"/>
      <c r="H382" s="506"/>
    </row>
    <row r="383" spans="1:8">
      <c r="A383" s="219"/>
      <c r="B383" s="218"/>
      <c r="C383" s="218"/>
      <c r="D383" s="218"/>
      <c r="E383" s="504"/>
      <c r="F383" s="504"/>
      <c r="G383" s="505"/>
      <c r="H383" s="506"/>
    </row>
    <row r="384" spans="1:8">
      <c r="A384" s="219"/>
      <c r="B384" s="218"/>
      <c r="C384" s="218"/>
      <c r="D384" s="218"/>
      <c r="E384" s="504"/>
      <c r="F384" s="504"/>
      <c r="G384" s="505"/>
      <c r="H384" s="506"/>
    </row>
    <row r="385" spans="1:8">
      <c r="A385" s="219"/>
      <c r="B385" s="218"/>
      <c r="C385" s="218"/>
      <c r="D385" s="218"/>
      <c r="E385" s="504"/>
      <c r="F385" s="504"/>
      <c r="G385" s="505"/>
      <c r="H385" s="506"/>
    </row>
    <row r="386" spans="1:8">
      <c r="A386" s="219"/>
      <c r="B386" s="218"/>
      <c r="C386" s="218"/>
      <c r="D386" s="218"/>
      <c r="E386" s="504"/>
      <c r="F386" s="504"/>
      <c r="G386" s="505"/>
      <c r="H386" s="506"/>
    </row>
    <row r="387" spans="1:8">
      <c r="A387" s="219"/>
      <c r="B387" s="218"/>
      <c r="C387" s="218"/>
      <c r="D387" s="218"/>
      <c r="E387" s="504"/>
      <c r="F387" s="504"/>
      <c r="G387" s="505"/>
      <c r="H387" s="506"/>
    </row>
    <row r="388" spans="1:8">
      <c r="A388" s="219"/>
      <c r="B388" s="218"/>
      <c r="C388" s="218"/>
      <c r="D388" s="218"/>
      <c r="E388" s="504"/>
      <c r="F388" s="504"/>
      <c r="G388" s="505"/>
      <c r="H388" s="506"/>
    </row>
    <row r="389" spans="1:8">
      <c r="A389" s="219"/>
      <c r="B389" s="218"/>
      <c r="C389" s="218"/>
      <c r="D389" s="218"/>
      <c r="E389" s="504"/>
      <c r="F389" s="504"/>
      <c r="G389" s="505"/>
      <c r="H389" s="506"/>
    </row>
    <row r="390" spans="1:8">
      <c r="A390" s="219"/>
      <c r="B390" s="218"/>
      <c r="C390" s="218"/>
      <c r="D390" s="218"/>
      <c r="E390" s="504"/>
      <c r="F390" s="504"/>
      <c r="G390" s="505"/>
      <c r="H390" s="506"/>
    </row>
    <row r="391" spans="1:8">
      <c r="A391" s="219"/>
      <c r="B391" s="218"/>
      <c r="C391" s="218"/>
      <c r="D391" s="218"/>
      <c r="E391" s="504"/>
      <c r="F391" s="504"/>
      <c r="G391" s="505"/>
      <c r="H391" s="506"/>
    </row>
    <row r="392" spans="1:8">
      <c r="A392" s="219"/>
      <c r="B392" s="218"/>
      <c r="C392" s="218"/>
      <c r="D392" s="218"/>
      <c r="E392" s="504"/>
      <c r="F392" s="504"/>
      <c r="G392" s="505"/>
      <c r="H392" s="506"/>
    </row>
    <row r="393" spans="1:8">
      <c r="A393" s="219"/>
      <c r="B393" s="218"/>
      <c r="C393" s="218"/>
      <c r="D393" s="218"/>
      <c r="E393" s="504"/>
      <c r="F393" s="504"/>
      <c r="G393" s="505"/>
      <c r="H393" s="506"/>
    </row>
    <row r="394" spans="1:8">
      <c r="A394" s="219"/>
      <c r="B394" s="218"/>
      <c r="C394" s="218"/>
      <c r="D394" s="218"/>
      <c r="E394" s="504"/>
      <c r="F394" s="504"/>
      <c r="G394" s="505"/>
      <c r="H394" s="506"/>
    </row>
    <row r="395" spans="1:8">
      <c r="A395" s="219"/>
      <c r="B395" s="218"/>
      <c r="C395" s="218"/>
      <c r="D395" s="218"/>
      <c r="E395" s="504"/>
      <c r="F395" s="504"/>
      <c r="G395" s="505"/>
      <c r="H395" s="506"/>
    </row>
    <row r="396" spans="1:8">
      <c r="A396" s="219"/>
      <c r="B396" s="218"/>
      <c r="C396" s="218"/>
      <c r="D396" s="218"/>
      <c r="E396" s="504"/>
      <c r="F396" s="504"/>
      <c r="G396" s="505"/>
      <c r="H396" s="506"/>
    </row>
    <row r="397" spans="1:8">
      <c r="A397" s="219"/>
      <c r="B397" s="218"/>
      <c r="C397" s="218"/>
      <c r="D397" s="218"/>
      <c r="E397" s="504"/>
      <c r="F397" s="504"/>
      <c r="G397" s="505"/>
      <c r="H397" s="506"/>
    </row>
    <row r="398" spans="1:8">
      <c r="A398" s="219"/>
      <c r="B398" s="218"/>
      <c r="C398" s="218"/>
      <c r="D398" s="218"/>
      <c r="E398" s="504"/>
      <c r="F398" s="504"/>
      <c r="G398" s="505"/>
      <c r="H398" s="506"/>
    </row>
    <row r="399" spans="1:8">
      <c r="A399" s="219"/>
      <c r="B399" s="218"/>
      <c r="C399" s="218"/>
      <c r="D399" s="218"/>
      <c r="E399" s="504"/>
      <c r="F399" s="504"/>
      <c r="G399" s="505"/>
      <c r="H399" s="506"/>
    </row>
    <row r="400" spans="1:8">
      <c r="A400" s="219"/>
      <c r="B400" s="218"/>
      <c r="C400" s="218"/>
      <c r="D400" s="218"/>
      <c r="E400" s="504"/>
      <c r="F400" s="504"/>
      <c r="G400" s="505"/>
      <c r="H400" s="506"/>
    </row>
    <row r="401" spans="1:8">
      <c r="A401" s="219"/>
      <c r="B401" s="218"/>
      <c r="C401" s="218"/>
      <c r="D401" s="218"/>
      <c r="E401" s="504"/>
      <c r="F401" s="504"/>
      <c r="G401" s="505"/>
      <c r="H401" s="506"/>
    </row>
    <row r="402" spans="1:8">
      <c r="A402" s="219"/>
      <c r="B402" s="218"/>
      <c r="C402" s="218"/>
      <c r="D402" s="218"/>
      <c r="E402" s="504"/>
      <c r="F402" s="504"/>
      <c r="G402" s="505"/>
      <c r="H402" s="506"/>
    </row>
    <row r="403" spans="1:8">
      <c r="A403" s="219"/>
      <c r="B403" s="218"/>
      <c r="C403" s="218"/>
      <c r="D403" s="218"/>
      <c r="E403" s="504"/>
      <c r="F403" s="504"/>
      <c r="G403" s="505"/>
      <c r="H403" s="506"/>
    </row>
    <row r="404" spans="1:8">
      <c r="A404" s="219"/>
      <c r="B404" s="218"/>
      <c r="C404" s="218"/>
      <c r="D404" s="218"/>
      <c r="E404" s="504"/>
      <c r="F404" s="504"/>
      <c r="G404" s="505"/>
      <c r="H404" s="506"/>
    </row>
    <row r="405" spans="1:8">
      <c r="A405" s="219"/>
      <c r="B405" s="218"/>
      <c r="C405" s="218"/>
      <c r="D405" s="218"/>
      <c r="E405" s="504"/>
      <c r="F405" s="504"/>
      <c r="G405" s="505"/>
      <c r="H405" s="506"/>
    </row>
    <row r="406" spans="1:8">
      <c r="A406" s="219"/>
      <c r="B406" s="218"/>
      <c r="C406" s="218"/>
      <c r="D406" s="218"/>
      <c r="E406" s="504"/>
      <c r="F406" s="504"/>
      <c r="G406" s="505"/>
      <c r="H406" s="506"/>
    </row>
    <row r="407" spans="1:8">
      <c r="A407" s="219"/>
      <c r="B407" s="218"/>
      <c r="C407" s="218"/>
      <c r="D407" s="218"/>
      <c r="E407" s="504"/>
      <c r="F407" s="504"/>
      <c r="G407" s="505"/>
      <c r="H407" s="506"/>
    </row>
    <row r="408" spans="1:8">
      <c r="A408" s="219"/>
      <c r="B408" s="218"/>
      <c r="C408" s="218"/>
      <c r="D408" s="218"/>
      <c r="E408" s="504"/>
      <c r="F408" s="504"/>
      <c r="G408" s="505"/>
      <c r="H408" s="506"/>
    </row>
    <row r="409" spans="1:8">
      <c r="A409" s="219"/>
      <c r="B409" s="218"/>
      <c r="C409" s="218"/>
      <c r="D409" s="218"/>
      <c r="E409" s="504"/>
      <c r="F409" s="504"/>
      <c r="G409" s="505"/>
      <c r="H409" s="506"/>
    </row>
    <row r="410" spans="1:8">
      <c r="A410" s="219"/>
      <c r="B410" s="218"/>
      <c r="C410" s="218"/>
      <c r="D410" s="218"/>
      <c r="E410" s="504"/>
      <c r="F410" s="504"/>
      <c r="G410" s="505"/>
      <c r="H410" s="506"/>
    </row>
    <row r="411" spans="1:8">
      <c r="A411" s="219"/>
      <c r="B411" s="218"/>
      <c r="C411" s="218"/>
      <c r="D411" s="218"/>
      <c r="E411" s="504"/>
      <c r="F411" s="504"/>
      <c r="G411" s="505"/>
      <c r="H411" s="506"/>
    </row>
    <row r="412" spans="1:8">
      <c r="A412" s="219"/>
      <c r="B412" s="218"/>
      <c r="C412" s="218"/>
      <c r="D412" s="218"/>
      <c r="E412" s="504"/>
      <c r="F412" s="504"/>
      <c r="G412" s="505"/>
      <c r="H412" s="506"/>
    </row>
    <row r="413" spans="1:8">
      <c r="A413" s="219"/>
      <c r="B413" s="218"/>
      <c r="C413" s="218"/>
      <c r="D413" s="218"/>
      <c r="E413" s="504"/>
      <c r="F413" s="504"/>
      <c r="G413" s="505"/>
      <c r="H413" s="506"/>
    </row>
    <row r="414" spans="1:8">
      <c r="A414" s="219"/>
      <c r="B414" s="218"/>
      <c r="C414" s="218"/>
      <c r="D414" s="218"/>
      <c r="E414" s="504"/>
      <c r="F414" s="504"/>
      <c r="G414" s="505"/>
      <c r="H414" s="506"/>
    </row>
    <row r="415" spans="1:8">
      <c r="A415" s="219"/>
      <c r="B415" s="218"/>
      <c r="C415" s="218"/>
      <c r="D415" s="218"/>
      <c r="E415" s="504"/>
      <c r="F415" s="504"/>
      <c r="G415" s="505"/>
      <c r="H415" s="506"/>
    </row>
    <row r="416" spans="1:8">
      <c r="A416" s="219"/>
      <c r="B416" s="218"/>
      <c r="C416" s="218"/>
      <c r="D416" s="218"/>
      <c r="E416" s="504"/>
      <c r="F416" s="504"/>
      <c r="G416" s="505"/>
      <c r="H416" s="506"/>
    </row>
    <row r="417" spans="1:8">
      <c r="A417" s="219"/>
      <c r="B417" s="218"/>
      <c r="C417" s="218"/>
      <c r="D417" s="218"/>
      <c r="E417" s="504"/>
      <c r="F417" s="504"/>
      <c r="G417" s="505"/>
      <c r="H417" s="506"/>
    </row>
    <row r="418" spans="1:8">
      <c r="A418" s="219"/>
      <c r="B418" s="218"/>
      <c r="C418" s="218"/>
      <c r="D418" s="218"/>
      <c r="E418" s="504"/>
      <c r="F418" s="504"/>
      <c r="G418" s="505"/>
      <c r="H418" s="506"/>
    </row>
    <row r="419" spans="1:8">
      <c r="A419" s="219"/>
      <c r="B419" s="218"/>
      <c r="C419" s="218"/>
      <c r="D419" s="218"/>
      <c r="E419" s="504"/>
      <c r="F419" s="504"/>
      <c r="G419" s="505"/>
      <c r="H419" s="506"/>
    </row>
    <row r="420" spans="1:8">
      <c r="A420" s="219"/>
      <c r="B420" s="218"/>
      <c r="C420" s="218"/>
      <c r="D420" s="218"/>
      <c r="E420" s="504"/>
      <c r="F420" s="504"/>
      <c r="G420" s="505"/>
      <c r="H420" s="506"/>
    </row>
    <row r="421" spans="1:8">
      <c r="A421" s="219"/>
      <c r="B421" s="218"/>
      <c r="C421" s="218"/>
      <c r="D421" s="218"/>
      <c r="E421" s="504"/>
      <c r="F421" s="504"/>
      <c r="G421" s="505"/>
      <c r="H421" s="506"/>
    </row>
    <row r="422" spans="1:8">
      <c r="A422" s="219"/>
      <c r="B422" s="218"/>
      <c r="C422" s="218"/>
      <c r="D422" s="218"/>
      <c r="E422" s="504"/>
      <c r="F422" s="504"/>
      <c r="G422" s="505"/>
      <c r="H422" s="506"/>
    </row>
    <row r="423" spans="1:8">
      <c r="A423" s="219"/>
      <c r="B423" s="218"/>
      <c r="C423" s="218"/>
      <c r="D423" s="218"/>
      <c r="E423" s="504"/>
      <c r="F423" s="504"/>
      <c r="G423" s="505"/>
      <c r="H423" s="506"/>
    </row>
    <row r="424" spans="1:8">
      <c r="A424" s="219"/>
      <c r="B424" s="218"/>
      <c r="C424" s="218"/>
      <c r="D424" s="218"/>
      <c r="E424" s="504"/>
      <c r="F424" s="504"/>
      <c r="G424" s="505"/>
      <c r="H424" s="506"/>
    </row>
    <row r="425" spans="1:8">
      <c r="A425" s="219"/>
      <c r="B425" s="218"/>
      <c r="C425" s="218"/>
      <c r="D425" s="218"/>
      <c r="E425" s="504"/>
      <c r="F425" s="504"/>
      <c r="G425" s="505"/>
      <c r="H425" s="506"/>
    </row>
    <row r="426" spans="1:8">
      <c r="A426" s="219"/>
      <c r="B426" s="218"/>
      <c r="C426" s="218"/>
      <c r="D426" s="218"/>
      <c r="E426" s="504"/>
      <c r="F426" s="504"/>
      <c r="G426" s="505"/>
      <c r="H426" s="506"/>
    </row>
    <row r="427" spans="1:8">
      <c r="A427" s="219"/>
      <c r="B427" s="218"/>
      <c r="C427" s="218"/>
      <c r="D427" s="218"/>
      <c r="E427" s="504"/>
      <c r="F427" s="504"/>
      <c r="G427" s="505"/>
      <c r="H427" s="506"/>
    </row>
    <row r="428" spans="1:8">
      <c r="A428" s="219"/>
      <c r="B428" s="218"/>
      <c r="C428" s="218"/>
      <c r="D428" s="218"/>
      <c r="E428" s="504"/>
      <c r="F428" s="504"/>
      <c r="G428" s="505"/>
      <c r="H428" s="506"/>
    </row>
    <row r="429" spans="1:8">
      <c r="A429" s="219"/>
      <c r="B429" s="218"/>
      <c r="C429" s="218"/>
      <c r="D429" s="218"/>
      <c r="E429" s="504"/>
      <c r="F429" s="504"/>
      <c r="G429" s="505"/>
      <c r="H429" s="506"/>
    </row>
    <row r="430" spans="1:8">
      <c r="A430" s="219"/>
      <c r="B430" s="218"/>
      <c r="C430" s="218"/>
      <c r="D430" s="218"/>
      <c r="E430" s="504"/>
      <c r="F430" s="504"/>
      <c r="G430" s="505"/>
      <c r="H430" s="506"/>
    </row>
    <row r="431" spans="1:8">
      <c r="A431" s="219"/>
      <c r="B431" s="218"/>
      <c r="C431" s="218"/>
      <c r="D431" s="218"/>
      <c r="E431" s="504"/>
      <c r="F431" s="504"/>
      <c r="G431" s="505"/>
      <c r="H431" s="506"/>
    </row>
    <row r="432" spans="1:8">
      <c r="A432" s="219"/>
      <c r="B432" s="218"/>
      <c r="C432" s="218"/>
      <c r="D432" s="218"/>
      <c r="E432" s="504"/>
      <c r="F432" s="504"/>
      <c r="G432" s="505"/>
      <c r="H432" s="506"/>
    </row>
    <row r="433" spans="1:8">
      <c r="A433" s="219"/>
      <c r="B433" s="218"/>
      <c r="C433" s="218"/>
      <c r="D433" s="218"/>
      <c r="E433" s="504"/>
      <c r="F433" s="504"/>
      <c r="G433" s="505"/>
      <c r="H433" s="506"/>
    </row>
    <row r="434" spans="1:8">
      <c r="A434" s="219"/>
      <c r="B434" s="218"/>
      <c r="C434" s="218"/>
      <c r="D434" s="218"/>
      <c r="E434" s="504"/>
      <c r="F434" s="504"/>
      <c r="G434" s="505"/>
      <c r="H434" s="506"/>
    </row>
    <row r="435" spans="1:8">
      <c r="A435" s="219"/>
      <c r="B435" s="218"/>
      <c r="C435" s="218"/>
      <c r="D435" s="218"/>
      <c r="E435" s="504"/>
      <c r="F435" s="504"/>
      <c r="G435" s="505"/>
      <c r="H435" s="506"/>
    </row>
    <row r="436" spans="1:8">
      <c r="A436" s="219"/>
      <c r="B436" s="218"/>
      <c r="C436" s="218"/>
      <c r="D436" s="218"/>
      <c r="E436" s="504"/>
      <c r="F436" s="504"/>
      <c r="G436" s="505"/>
      <c r="H436" s="506"/>
    </row>
    <row r="437" spans="1:8">
      <c r="A437" s="219"/>
      <c r="B437" s="218"/>
      <c r="C437" s="218"/>
      <c r="D437" s="218"/>
      <c r="E437" s="504"/>
      <c r="F437" s="504"/>
      <c r="G437" s="505"/>
      <c r="H437" s="506"/>
    </row>
    <row r="438" spans="1:8">
      <c r="A438" s="219"/>
      <c r="B438" s="218"/>
      <c r="C438" s="218"/>
      <c r="D438" s="218"/>
      <c r="E438" s="504"/>
      <c r="F438" s="504"/>
      <c r="G438" s="505"/>
      <c r="H438" s="506"/>
    </row>
    <row r="439" spans="1:8">
      <c r="A439" s="219"/>
      <c r="B439" s="218"/>
      <c r="C439" s="218"/>
      <c r="D439" s="218"/>
      <c r="E439" s="504"/>
      <c r="F439" s="504"/>
      <c r="G439" s="505"/>
      <c r="H439" s="506"/>
    </row>
    <row r="440" spans="1:8">
      <c r="A440" s="219"/>
      <c r="B440" s="218"/>
      <c r="C440" s="218"/>
      <c r="D440" s="218"/>
      <c r="E440" s="504"/>
      <c r="F440" s="504"/>
      <c r="G440" s="505"/>
      <c r="H440" s="506"/>
    </row>
    <row r="441" spans="1:8">
      <c r="A441" s="219"/>
      <c r="B441" s="218"/>
      <c r="C441" s="218"/>
      <c r="D441" s="218"/>
      <c r="E441" s="504"/>
      <c r="F441" s="504"/>
      <c r="G441" s="505"/>
      <c r="H441" s="506"/>
    </row>
    <row r="442" spans="1:8">
      <c r="A442" s="219"/>
      <c r="B442" s="218"/>
      <c r="C442" s="218"/>
      <c r="D442" s="218"/>
      <c r="E442" s="504"/>
      <c r="F442" s="504"/>
      <c r="G442" s="505"/>
      <c r="H442" s="506"/>
    </row>
    <row r="443" spans="1:8">
      <c r="A443" s="219"/>
      <c r="B443" s="218"/>
      <c r="C443" s="218"/>
      <c r="D443" s="218"/>
      <c r="E443" s="504"/>
      <c r="F443" s="504"/>
      <c r="G443" s="505"/>
      <c r="H443" s="506"/>
    </row>
    <row r="444" spans="1:8">
      <c r="A444" s="219"/>
      <c r="B444" s="218"/>
      <c r="C444" s="218"/>
      <c r="D444" s="218"/>
      <c r="E444" s="504"/>
      <c r="F444" s="504"/>
      <c r="G444" s="505"/>
      <c r="H444" s="506"/>
    </row>
    <row r="445" spans="1:8">
      <c r="A445" s="219"/>
      <c r="B445" s="218"/>
      <c r="C445" s="218"/>
      <c r="D445" s="218"/>
      <c r="E445" s="504"/>
      <c r="F445" s="504"/>
      <c r="G445" s="505"/>
      <c r="H445" s="506"/>
    </row>
    <row r="446" spans="1:8">
      <c r="A446" s="219"/>
      <c r="B446" s="218"/>
      <c r="C446" s="218"/>
      <c r="D446" s="218"/>
      <c r="E446" s="504"/>
      <c r="F446" s="504"/>
      <c r="G446" s="505"/>
      <c r="H446" s="506"/>
    </row>
    <row r="447" spans="1:8">
      <c r="A447" s="219"/>
      <c r="B447" s="218"/>
      <c r="C447" s="218"/>
      <c r="D447" s="218"/>
      <c r="E447" s="504"/>
      <c r="F447" s="504"/>
      <c r="G447" s="505"/>
      <c r="H447" s="506"/>
    </row>
    <row r="448" spans="1:8">
      <c r="A448" s="219"/>
      <c r="B448" s="218"/>
      <c r="C448" s="218"/>
      <c r="D448" s="218"/>
      <c r="E448" s="504"/>
      <c r="F448" s="504"/>
      <c r="G448" s="505"/>
      <c r="H448" s="506"/>
    </row>
    <row r="449" spans="1:8">
      <c r="A449" s="219"/>
      <c r="B449" s="218"/>
      <c r="C449" s="218"/>
      <c r="D449" s="218"/>
      <c r="E449" s="504"/>
      <c r="F449" s="504"/>
      <c r="G449" s="505"/>
      <c r="H449" s="506"/>
    </row>
    <row r="450" spans="1:8">
      <c r="A450" s="219"/>
      <c r="B450" s="218"/>
      <c r="C450" s="218"/>
      <c r="D450" s="218"/>
      <c r="E450" s="504"/>
      <c r="F450" s="504"/>
      <c r="G450" s="505"/>
      <c r="H450" s="506"/>
    </row>
    <row r="451" spans="1:8">
      <c r="A451" s="219"/>
      <c r="B451" s="218"/>
      <c r="C451" s="218"/>
      <c r="D451" s="218"/>
      <c r="E451" s="504"/>
      <c r="F451" s="504"/>
      <c r="G451" s="505"/>
      <c r="H451" s="506"/>
    </row>
    <row r="452" spans="1:8">
      <c r="A452" s="219"/>
      <c r="B452" s="218"/>
      <c r="C452" s="218"/>
      <c r="D452" s="218"/>
      <c r="E452" s="504"/>
      <c r="F452" s="504"/>
      <c r="G452" s="505"/>
      <c r="H452" s="506"/>
    </row>
    <row r="453" spans="1:8">
      <c r="A453" s="219"/>
      <c r="B453" s="218"/>
      <c r="C453" s="218"/>
      <c r="D453" s="218"/>
      <c r="E453" s="504"/>
      <c r="F453" s="504"/>
      <c r="G453" s="505"/>
      <c r="H453" s="506"/>
    </row>
    <row r="454" spans="1:8">
      <c r="A454" s="219"/>
      <c r="B454" s="218"/>
      <c r="C454" s="218"/>
      <c r="D454" s="218"/>
      <c r="E454" s="504"/>
      <c r="F454" s="504"/>
      <c r="G454" s="505"/>
      <c r="H454" s="506"/>
    </row>
    <row r="455" spans="1:8">
      <c r="A455" s="219"/>
      <c r="B455" s="218"/>
      <c r="C455" s="218"/>
      <c r="D455" s="218"/>
      <c r="E455" s="504"/>
      <c r="F455" s="504"/>
      <c r="G455" s="505"/>
      <c r="H455" s="506"/>
    </row>
    <row r="456" spans="1:8">
      <c r="A456" s="219"/>
      <c r="B456" s="218"/>
      <c r="C456" s="218"/>
      <c r="D456" s="218"/>
      <c r="E456" s="504"/>
      <c r="F456" s="504"/>
      <c r="G456" s="505"/>
      <c r="H456" s="506"/>
    </row>
    <row r="457" spans="1:8">
      <c r="A457" s="219"/>
      <c r="B457" s="218"/>
      <c r="C457" s="218"/>
      <c r="D457" s="218"/>
      <c r="E457" s="504"/>
      <c r="F457" s="504"/>
      <c r="G457" s="505"/>
      <c r="H457" s="506"/>
    </row>
    <row r="458" spans="1:8">
      <c r="A458" s="219"/>
      <c r="B458" s="218"/>
      <c r="C458" s="218"/>
      <c r="D458" s="218"/>
      <c r="E458" s="504"/>
      <c r="F458" s="504"/>
      <c r="G458" s="505"/>
      <c r="H458" s="506"/>
    </row>
    <row r="459" spans="1:8">
      <c r="A459" s="219"/>
      <c r="B459" s="218"/>
      <c r="C459" s="218"/>
      <c r="D459" s="218"/>
      <c r="E459" s="504"/>
      <c r="F459" s="504"/>
      <c r="G459" s="505"/>
      <c r="H459" s="506"/>
    </row>
    <row r="460" spans="1:8">
      <c r="A460" s="219"/>
      <c r="B460" s="218"/>
      <c r="C460" s="218"/>
      <c r="D460" s="218"/>
      <c r="E460" s="504"/>
      <c r="F460" s="504"/>
      <c r="G460" s="505"/>
      <c r="H460" s="506"/>
    </row>
    <row r="461" spans="1:8">
      <c r="A461" s="219"/>
      <c r="B461" s="218"/>
      <c r="C461" s="218"/>
      <c r="D461" s="218"/>
      <c r="E461" s="504"/>
      <c r="F461" s="504"/>
      <c r="G461" s="505"/>
      <c r="H461" s="506"/>
    </row>
    <row r="462" spans="1:8">
      <c r="A462" s="219"/>
      <c r="B462" s="218"/>
      <c r="C462" s="218"/>
      <c r="D462" s="218"/>
      <c r="E462" s="504"/>
      <c r="F462" s="504"/>
      <c r="G462" s="505"/>
      <c r="H462" s="506"/>
    </row>
    <row r="463" spans="1:8">
      <c r="A463" s="219"/>
      <c r="B463" s="218"/>
      <c r="C463" s="218"/>
      <c r="D463" s="218"/>
      <c r="E463" s="504"/>
      <c r="F463" s="504"/>
      <c r="G463" s="505"/>
      <c r="H463" s="506"/>
    </row>
    <row r="464" spans="1:8">
      <c r="A464" s="219"/>
      <c r="B464" s="218"/>
      <c r="C464" s="218"/>
      <c r="D464" s="218"/>
      <c r="E464" s="504"/>
      <c r="F464" s="504"/>
      <c r="G464" s="505"/>
      <c r="H464" s="506"/>
    </row>
    <row r="465" spans="1:8">
      <c r="A465" s="219"/>
      <c r="B465" s="218"/>
      <c r="C465" s="218"/>
      <c r="D465" s="218"/>
      <c r="E465" s="504"/>
      <c r="F465" s="504"/>
      <c r="G465" s="505"/>
      <c r="H465" s="506"/>
    </row>
    <row r="466" spans="1:8">
      <c r="A466" s="219"/>
      <c r="B466" s="218"/>
      <c r="C466" s="218"/>
      <c r="D466" s="218"/>
      <c r="E466" s="504"/>
      <c r="F466" s="504"/>
      <c r="G466" s="505"/>
      <c r="H466" s="506"/>
    </row>
    <row r="467" spans="1:8">
      <c r="A467" s="219"/>
      <c r="B467" s="218"/>
      <c r="C467" s="218"/>
      <c r="D467" s="218"/>
      <c r="E467" s="504"/>
      <c r="F467" s="504"/>
      <c r="G467" s="505"/>
      <c r="H467" s="506"/>
    </row>
    <row r="468" spans="1:8">
      <c r="A468" s="219"/>
      <c r="B468" s="218"/>
      <c r="C468" s="218"/>
      <c r="D468" s="218"/>
      <c r="E468" s="504"/>
      <c r="F468" s="504"/>
      <c r="G468" s="505"/>
      <c r="H468" s="506"/>
    </row>
    <row r="469" spans="1:8">
      <c r="A469" s="219"/>
      <c r="B469" s="218"/>
      <c r="C469" s="218"/>
      <c r="D469" s="218"/>
      <c r="E469" s="504"/>
      <c r="F469" s="504"/>
      <c r="G469" s="505"/>
      <c r="H469" s="506"/>
    </row>
    <row r="470" spans="1:8">
      <c r="A470" s="219"/>
      <c r="B470" s="218"/>
      <c r="C470" s="218"/>
      <c r="D470" s="218"/>
      <c r="E470" s="504"/>
      <c r="F470" s="504"/>
      <c r="G470" s="505"/>
      <c r="H470" s="506"/>
    </row>
    <row r="471" spans="1:8">
      <c r="A471" s="219"/>
      <c r="B471" s="218"/>
      <c r="C471" s="218"/>
      <c r="D471" s="218"/>
      <c r="E471" s="504"/>
      <c r="F471" s="504"/>
      <c r="G471" s="505"/>
      <c r="H471" s="506"/>
    </row>
    <row r="472" spans="1:8">
      <c r="A472" s="219"/>
      <c r="B472" s="218"/>
      <c r="C472" s="218"/>
      <c r="D472" s="218"/>
      <c r="E472" s="504"/>
      <c r="F472" s="504"/>
      <c r="G472" s="505"/>
      <c r="H472" s="506"/>
    </row>
    <row r="473" spans="1:8">
      <c r="A473" s="219"/>
      <c r="B473" s="218"/>
      <c r="C473" s="218"/>
      <c r="D473" s="218"/>
      <c r="E473" s="504"/>
      <c r="F473" s="504"/>
      <c r="G473" s="505"/>
      <c r="H473" s="506"/>
    </row>
    <row r="474" spans="1:8">
      <c r="A474" s="219"/>
      <c r="B474" s="218"/>
      <c r="C474" s="218"/>
      <c r="D474" s="218"/>
      <c r="E474" s="504"/>
      <c r="F474" s="504"/>
      <c r="G474" s="505"/>
      <c r="H474" s="506"/>
    </row>
    <row r="475" spans="1:8">
      <c r="A475" s="219"/>
      <c r="B475" s="218"/>
      <c r="C475" s="218"/>
      <c r="D475" s="218"/>
      <c r="E475" s="504"/>
      <c r="F475" s="504"/>
      <c r="G475" s="505"/>
      <c r="H475" s="506"/>
    </row>
    <row r="476" spans="1:8">
      <c r="A476" s="219"/>
      <c r="B476" s="218"/>
      <c r="C476" s="218"/>
      <c r="D476" s="218"/>
      <c r="E476" s="504"/>
      <c r="F476" s="504"/>
      <c r="G476" s="505"/>
      <c r="H476" s="506"/>
    </row>
    <row r="477" spans="1:8">
      <c r="A477" s="219"/>
      <c r="B477" s="218"/>
      <c r="C477" s="218"/>
      <c r="D477" s="218"/>
      <c r="E477" s="504"/>
      <c r="F477" s="504"/>
      <c r="G477" s="505"/>
      <c r="H477" s="506"/>
    </row>
    <row r="478" spans="1:8">
      <c r="A478" s="219"/>
      <c r="B478" s="218"/>
      <c r="C478" s="218"/>
      <c r="D478" s="218"/>
      <c r="E478" s="504"/>
      <c r="F478" s="504"/>
      <c r="G478" s="505"/>
      <c r="H478" s="506"/>
    </row>
    <row r="479" spans="1:8">
      <c r="A479" s="219"/>
      <c r="B479" s="218"/>
      <c r="C479" s="218"/>
      <c r="D479" s="218"/>
      <c r="E479" s="504"/>
      <c r="F479" s="504"/>
      <c r="G479" s="505"/>
      <c r="H479" s="506"/>
    </row>
    <row r="480" spans="1:8">
      <c r="A480" s="219"/>
      <c r="B480" s="218"/>
      <c r="C480" s="218"/>
      <c r="D480" s="218"/>
      <c r="E480" s="504"/>
      <c r="F480" s="504"/>
      <c r="G480" s="505"/>
      <c r="H480" s="506"/>
    </row>
    <row r="481" spans="1:8">
      <c r="A481" s="219"/>
      <c r="B481" s="218"/>
      <c r="C481" s="218"/>
      <c r="D481" s="218"/>
      <c r="E481" s="504"/>
      <c r="F481" s="504"/>
      <c r="G481" s="505"/>
      <c r="H481" s="506"/>
    </row>
    <row r="482" spans="1:8">
      <c r="A482" s="219"/>
      <c r="B482" s="218"/>
      <c r="C482" s="218"/>
      <c r="D482" s="218"/>
      <c r="E482" s="504"/>
      <c r="F482" s="504"/>
      <c r="G482" s="505"/>
      <c r="H482" s="506"/>
    </row>
    <row r="483" spans="1:8">
      <c r="A483" s="219"/>
      <c r="B483" s="218"/>
      <c r="C483" s="218"/>
      <c r="D483" s="218"/>
      <c r="E483" s="504"/>
      <c r="F483" s="504"/>
      <c r="G483" s="505"/>
      <c r="H483" s="506"/>
    </row>
    <row r="484" spans="1:8">
      <c r="A484" s="219"/>
      <c r="B484" s="218"/>
      <c r="C484" s="218"/>
      <c r="D484" s="218"/>
      <c r="E484" s="504"/>
      <c r="F484" s="504"/>
      <c r="G484" s="505"/>
      <c r="H484" s="506"/>
    </row>
    <row r="485" spans="1:8">
      <c r="A485" s="219"/>
      <c r="B485" s="218"/>
      <c r="C485" s="218"/>
      <c r="D485" s="218"/>
      <c r="E485" s="504"/>
      <c r="F485" s="504"/>
      <c r="G485" s="505"/>
      <c r="H485" s="506"/>
    </row>
    <row r="486" spans="1:8">
      <c r="A486" s="219"/>
      <c r="B486" s="218"/>
      <c r="C486" s="218"/>
      <c r="D486" s="218"/>
      <c r="E486" s="504"/>
      <c r="F486" s="504"/>
      <c r="G486" s="505"/>
      <c r="H486" s="506"/>
    </row>
    <row r="487" spans="1:8">
      <c r="A487" s="219"/>
      <c r="B487" s="218"/>
      <c r="C487" s="218"/>
      <c r="D487" s="218"/>
      <c r="E487" s="504"/>
      <c r="F487" s="504"/>
      <c r="G487" s="505"/>
      <c r="H487" s="506"/>
    </row>
    <row r="488" spans="1:8">
      <c r="A488" s="219"/>
      <c r="B488" s="218"/>
      <c r="C488" s="218"/>
      <c r="D488" s="218"/>
      <c r="E488" s="504"/>
      <c r="F488" s="504"/>
      <c r="G488" s="505"/>
      <c r="H488" s="506"/>
    </row>
    <row r="489" spans="1:8">
      <c r="A489" s="219"/>
      <c r="B489" s="218"/>
      <c r="C489" s="218"/>
      <c r="D489" s="218"/>
      <c r="E489" s="504"/>
      <c r="F489" s="504"/>
      <c r="G489" s="505"/>
      <c r="H489" s="506"/>
    </row>
    <row r="490" spans="1:8">
      <c r="A490" s="219"/>
      <c r="B490" s="218"/>
      <c r="C490" s="218"/>
      <c r="D490" s="218"/>
      <c r="E490" s="504"/>
      <c r="F490" s="504"/>
      <c r="G490" s="505"/>
      <c r="H490" s="506"/>
    </row>
    <row r="491" spans="1:8">
      <c r="A491" s="219"/>
      <c r="B491" s="218"/>
      <c r="C491" s="218"/>
      <c r="D491" s="218"/>
      <c r="E491" s="504"/>
      <c r="F491" s="504"/>
      <c r="G491" s="505"/>
      <c r="H491" s="506"/>
    </row>
    <row r="492" spans="1:8">
      <c r="A492" s="219"/>
      <c r="B492" s="218"/>
      <c r="C492" s="218"/>
      <c r="D492" s="218"/>
      <c r="E492" s="504"/>
      <c r="F492" s="504"/>
      <c r="G492" s="505"/>
      <c r="H492" s="506"/>
    </row>
    <row r="493" spans="1:8">
      <c r="A493" s="219"/>
      <c r="B493" s="218"/>
      <c r="C493" s="218"/>
      <c r="D493" s="218"/>
      <c r="E493" s="504"/>
      <c r="F493" s="504"/>
      <c r="G493" s="505"/>
      <c r="H493" s="506"/>
    </row>
    <row r="494" spans="1:8">
      <c r="A494" s="219"/>
      <c r="B494" s="218"/>
      <c r="C494" s="218"/>
      <c r="D494" s="218"/>
      <c r="E494" s="504"/>
      <c r="F494" s="504"/>
      <c r="G494" s="505"/>
      <c r="H494" s="506"/>
    </row>
    <row r="495" spans="1:8">
      <c r="A495" s="219"/>
      <c r="B495" s="218"/>
      <c r="C495" s="218"/>
      <c r="D495" s="218"/>
      <c r="E495" s="504"/>
      <c r="F495" s="504"/>
      <c r="G495" s="505"/>
      <c r="H495" s="506"/>
    </row>
    <row r="496" spans="1:8">
      <c r="A496" s="219"/>
      <c r="B496" s="218"/>
      <c r="C496" s="218"/>
      <c r="D496" s="218"/>
      <c r="E496" s="504"/>
      <c r="F496" s="504"/>
      <c r="G496" s="505"/>
      <c r="H496" s="506"/>
    </row>
    <row r="497" spans="1:8">
      <c r="A497" s="219"/>
      <c r="B497" s="218"/>
      <c r="C497" s="218"/>
      <c r="D497" s="218"/>
      <c r="E497" s="504"/>
      <c r="F497" s="504"/>
      <c r="G497" s="505"/>
      <c r="H497" s="506"/>
    </row>
    <row r="498" spans="1:8">
      <c r="A498" s="219"/>
      <c r="B498" s="218"/>
      <c r="C498" s="218"/>
      <c r="D498" s="218"/>
      <c r="E498" s="504"/>
      <c r="F498" s="504"/>
      <c r="G498" s="505"/>
      <c r="H498" s="506"/>
    </row>
    <row r="499" spans="1:8">
      <c r="A499" s="219"/>
      <c r="B499" s="218"/>
      <c r="C499" s="218"/>
      <c r="D499" s="218"/>
      <c r="E499" s="504"/>
      <c r="F499" s="504"/>
      <c r="G499" s="505"/>
      <c r="H499" s="506"/>
    </row>
    <row r="500" spans="1:8">
      <c r="A500" s="219"/>
      <c r="B500" s="218"/>
      <c r="C500" s="218"/>
      <c r="D500" s="218"/>
      <c r="E500" s="504"/>
      <c r="F500" s="504"/>
      <c r="G500" s="505"/>
      <c r="H500" s="506"/>
    </row>
  </sheetData>
  <pageMargins left="0.74803149606299213" right="0.74803149606299213" top="0.98425196850393704" bottom="0.98425196850393704" header="0.51181102362204722" footer="0.51181102362204722"/>
  <pageSetup paperSize="9" scale="77" fitToHeight="0" orientation="landscape" r:id="rId1"/>
  <headerFooter alignWithMargins="0">
    <oddFooter>&amp;RRegulatory Accounts - M tables 2010-11 v1.2&amp;L&amp;1#&amp;"Arial"&amp;11&amp;K000000SW Internal Commercial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2:K498"/>
  <sheetViews>
    <sheetView zoomScaleNormal="100" zoomScaleSheetLayoutView="100" workbookViewId="0">
      <selection activeCell="C24" sqref="C24"/>
    </sheetView>
  </sheetViews>
  <sheetFormatPr defaultColWidth="8.81640625" defaultRowHeight="12.5"/>
  <cols>
    <col min="1" max="1" width="15.7265625" style="201" customWidth="1"/>
    <col min="2" max="4" width="10.7265625" style="210" customWidth="1"/>
    <col min="5" max="5" width="19.7265625" style="210" bestFit="1" customWidth="1"/>
    <col min="6" max="7" width="20.7265625" style="210" customWidth="1"/>
    <col min="8" max="11" width="20.7265625" style="204" customWidth="1"/>
    <col min="12" max="16384" width="8.81640625" style="204"/>
  </cols>
  <sheetData>
    <row r="2" spans="1:11" ht="15.5">
      <c r="A2" s="499" t="s">
        <v>64</v>
      </c>
    </row>
    <row r="3" spans="1:11" ht="15.5">
      <c r="A3" s="499" t="s">
        <v>1054</v>
      </c>
    </row>
    <row r="4" spans="1:11" ht="15.5">
      <c r="A4" s="500"/>
      <c r="G4" s="501"/>
      <c r="H4" s="501"/>
      <c r="I4" s="501"/>
      <c r="J4" s="501"/>
      <c r="K4" s="501"/>
    </row>
    <row r="5" spans="1:11" ht="15.5">
      <c r="A5" s="500"/>
      <c r="G5" s="501"/>
      <c r="H5" s="501"/>
      <c r="I5" s="874" t="s">
        <v>1055</v>
      </c>
      <c r="J5" s="874"/>
      <c r="K5" s="501"/>
    </row>
    <row r="6" spans="1:11" ht="13">
      <c r="A6" s="502" t="s">
        <v>1033</v>
      </c>
      <c r="B6" s="503" t="s">
        <v>1034</v>
      </c>
      <c r="C6" s="503" t="s">
        <v>1035</v>
      </c>
      <c r="D6" s="503" t="s">
        <v>1036</v>
      </c>
      <c r="E6" s="503" t="s">
        <v>1055</v>
      </c>
      <c r="F6" s="503" t="s">
        <v>1037</v>
      </c>
      <c r="G6" s="514" t="s">
        <v>1038</v>
      </c>
      <c r="H6" s="514" t="s">
        <v>1039</v>
      </c>
      <c r="I6" s="514" t="str">
        <f>"During " &amp; reportyear</f>
        <v>During 2019-20</v>
      </c>
      <c r="J6" s="514" t="s">
        <v>1056</v>
      </c>
      <c r="K6" s="514" t="s">
        <v>1040</v>
      </c>
    </row>
    <row r="7" spans="1:11">
      <c r="A7" s="219">
        <v>406338</v>
      </c>
      <c r="B7" s="218" t="s">
        <v>1043</v>
      </c>
      <c r="C7" s="218" t="s">
        <v>1045</v>
      </c>
      <c r="D7" s="218">
        <v>60.041095890410958</v>
      </c>
      <c r="E7" s="218" t="s">
        <v>1057</v>
      </c>
      <c r="F7" s="504">
        <v>25703</v>
      </c>
      <c r="G7" s="504">
        <v>47618</v>
      </c>
      <c r="H7" s="505">
        <v>5564.27</v>
      </c>
      <c r="I7" s="505">
        <v>288.05</v>
      </c>
      <c r="J7" s="505">
        <v>5276.22</v>
      </c>
      <c r="K7" s="554">
        <v>9.25</v>
      </c>
    </row>
    <row r="8" spans="1:11">
      <c r="A8" s="219">
        <v>422789</v>
      </c>
      <c r="B8" s="218" t="s">
        <v>1043</v>
      </c>
      <c r="C8" s="218" t="s">
        <v>1045</v>
      </c>
      <c r="D8" s="218">
        <v>59.56986301369863</v>
      </c>
      <c r="E8" s="218" t="s">
        <v>1057</v>
      </c>
      <c r="F8" s="504">
        <v>26606</v>
      </c>
      <c r="G8" s="504">
        <v>48349</v>
      </c>
      <c r="H8" s="505">
        <v>264.88</v>
      </c>
      <c r="I8" s="505">
        <v>10.62</v>
      </c>
      <c r="J8" s="505">
        <v>254.26</v>
      </c>
      <c r="K8" s="554">
        <v>9.25</v>
      </c>
    </row>
    <row r="9" spans="1:11">
      <c r="A9" s="219">
        <v>425427</v>
      </c>
      <c r="B9" s="218" t="s">
        <v>1043</v>
      </c>
      <c r="C9" s="218" t="s">
        <v>1045</v>
      </c>
      <c r="D9" s="218">
        <v>59.756164383561647</v>
      </c>
      <c r="E9" s="218" t="s">
        <v>1057</v>
      </c>
      <c r="F9" s="504">
        <v>26718</v>
      </c>
      <c r="G9" s="504">
        <v>48529</v>
      </c>
      <c r="H9" s="505">
        <v>9640.7199999999993</v>
      </c>
      <c r="I9" s="505">
        <v>358.48</v>
      </c>
      <c r="J9" s="505">
        <v>9282.24</v>
      </c>
      <c r="K9" s="554">
        <v>9.25</v>
      </c>
    </row>
    <row r="10" spans="1:11">
      <c r="A10" s="219">
        <v>7000406338</v>
      </c>
      <c r="B10" s="218" t="s">
        <v>1043</v>
      </c>
      <c r="C10" s="218" t="s">
        <v>1044</v>
      </c>
      <c r="D10" s="218">
        <v>59.93150684931507</v>
      </c>
      <c r="E10" s="218" t="s">
        <v>1057</v>
      </c>
      <c r="F10" s="504">
        <v>25703</v>
      </c>
      <c r="G10" s="504">
        <v>47578</v>
      </c>
      <c r="H10" s="505">
        <v>4449.71</v>
      </c>
      <c r="I10" s="505">
        <v>230.27</v>
      </c>
      <c r="J10" s="505">
        <v>4219.4399999999996</v>
      </c>
      <c r="K10" s="554">
        <v>9.25</v>
      </c>
    </row>
    <row r="11" spans="1:11">
      <c r="A11" s="219">
        <v>7000422789</v>
      </c>
      <c r="B11" s="218" t="s">
        <v>1043</v>
      </c>
      <c r="C11" s="218" t="s">
        <v>1044</v>
      </c>
      <c r="D11" s="218">
        <v>59.961643835616435</v>
      </c>
      <c r="E11" s="218" t="s">
        <v>1057</v>
      </c>
      <c r="F11" s="504">
        <v>26606</v>
      </c>
      <c r="G11" s="504">
        <v>48492</v>
      </c>
      <c r="H11" s="505">
        <v>7921.1</v>
      </c>
      <c r="I11" s="505">
        <v>294.41000000000003</v>
      </c>
      <c r="J11" s="505">
        <v>7626.69</v>
      </c>
      <c r="K11" s="554">
        <v>9.25</v>
      </c>
    </row>
    <row r="12" spans="1:11">
      <c r="A12" s="219">
        <v>9000406338</v>
      </c>
      <c r="B12" s="218" t="s">
        <v>1043</v>
      </c>
      <c r="C12" s="218" t="s">
        <v>1046</v>
      </c>
      <c r="D12" s="218">
        <v>59.958904109589042</v>
      </c>
      <c r="E12" s="218" t="s">
        <v>1057</v>
      </c>
      <c r="F12" s="504">
        <v>25703</v>
      </c>
      <c r="G12" s="504">
        <v>47588</v>
      </c>
      <c r="H12" s="505">
        <v>4189.08</v>
      </c>
      <c r="I12" s="505">
        <v>216.8</v>
      </c>
      <c r="J12" s="505">
        <v>3972.28</v>
      </c>
      <c r="K12" s="554">
        <v>9.25</v>
      </c>
    </row>
    <row r="13" spans="1:11">
      <c r="A13" s="219">
        <v>9000422789</v>
      </c>
      <c r="B13" s="218" t="s">
        <v>1043</v>
      </c>
      <c r="C13" s="218" t="s">
        <v>1046</v>
      </c>
      <c r="D13" s="218">
        <v>59.487671232876714</v>
      </c>
      <c r="E13" s="218" t="s">
        <v>1057</v>
      </c>
      <c r="F13" s="504">
        <v>26606</v>
      </c>
      <c r="G13" s="504">
        <v>48319</v>
      </c>
      <c r="H13" s="505">
        <v>199.36</v>
      </c>
      <c r="I13" s="505">
        <v>8</v>
      </c>
      <c r="J13" s="505">
        <v>191.36</v>
      </c>
      <c r="K13" s="554">
        <v>9.25</v>
      </c>
    </row>
    <row r="14" spans="1:11">
      <c r="A14" s="219">
        <v>9000425427</v>
      </c>
      <c r="B14" s="218" t="s">
        <v>1043</v>
      </c>
      <c r="C14" s="218" t="s">
        <v>1046</v>
      </c>
      <c r="D14" s="218">
        <v>59.682191780821917</v>
      </c>
      <c r="E14" s="218" t="s">
        <v>1057</v>
      </c>
      <c r="F14" s="504">
        <v>26718</v>
      </c>
      <c r="G14" s="504">
        <v>48502</v>
      </c>
      <c r="H14" s="505">
        <v>7257.56</v>
      </c>
      <c r="I14" s="505">
        <v>269.82</v>
      </c>
      <c r="J14" s="505">
        <v>6987.74</v>
      </c>
      <c r="K14" s="554">
        <v>9.25</v>
      </c>
    </row>
    <row r="15" spans="1:11">
      <c r="A15" s="219"/>
      <c r="B15" s="218"/>
      <c r="C15" s="218"/>
      <c r="D15" s="218"/>
      <c r="E15" s="218"/>
      <c r="F15" s="504"/>
      <c r="G15" s="504"/>
      <c r="H15" s="505"/>
      <c r="I15" s="505"/>
      <c r="J15" s="505"/>
      <c r="K15" s="506"/>
    </row>
    <row r="16" spans="1:11" hidden="1">
      <c r="A16" s="219"/>
      <c r="B16" s="218"/>
      <c r="C16" s="218"/>
      <c r="D16" s="218"/>
      <c r="E16" s="218"/>
      <c r="F16" s="504"/>
      <c r="G16" s="504"/>
      <c r="H16" s="505"/>
      <c r="I16" s="505"/>
      <c r="J16" s="505"/>
      <c r="K16" s="506"/>
    </row>
    <row r="17" spans="1:11" hidden="1">
      <c r="A17" s="219"/>
      <c r="B17" s="218"/>
      <c r="C17" s="218"/>
      <c r="D17" s="218"/>
      <c r="E17" s="218"/>
      <c r="F17" s="504"/>
      <c r="G17" s="504"/>
      <c r="H17" s="505"/>
      <c r="I17" s="505"/>
      <c r="J17" s="505"/>
      <c r="K17" s="506"/>
    </row>
    <row r="18" spans="1:11" hidden="1">
      <c r="A18" s="219"/>
      <c r="B18" s="218"/>
      <c r="C18" s="218"/>
      <c r="D18" s="218"/>
      <c r="E18" s="218"/>
      <c r="F18" s="504"/>
      <c r="G18" s="504"/>
      <c r="H18" s="505"/>
      <c r="I18" s="505"/>
      <c r="J18" s="505"/>
      <c r="K18" s="506"/>
    </row>
    <row r="19" spans="1:11" hidden="1">
      <c r="A19" s="219"/>
      <c r="B19" s="218"/>
      <c r="C19" s="218"/>
      <c r="D19" s="218"/>
      <c r="E19" s="218"/>
      <c r="F19" s="504"/>
      <c r="G19" s="504"/>
      <c r="H19" s="505"/>
      <c r="I19" s="505"/>
      <c r="J19" s="505"/>
      <c r="K19" s="506"/>
    </row>
    <row r="20" spans="1:11">
      <c r="A20" s="219"/>
      <c r="B20" s="218"/>
      <c r="C20" s="218"/>
      <c r="D20" s="218"/>
      <c r="E20" s="218"/>
      <c r="F20" s="504"/>
      <c r="G20" s="504"/>
      <c r="H20" s="505"/>
      <c r="I20" s="505"/>
      <c r="J20" s="505"/>
      <c r="K20" s="506"/>
    </row>
    <row r="21" spans="1:11">
      <c r="A21" s="219"/>
      <c r="B21" s="218"/>
      <c r="C21" s="218"/>
      <c r="D21" s="218"/>
      <c r="E21" s="218"/>
      <c r="F21" s="504"/>
      <c r="G21" s="504"/>
      <c r="H21" s="505"/>
      <c r="I21" s="505"/>
      <c r="J21" s="505"/>
      <c r="K21" s="506"/>
    </row>
    <row r="22" spans="1:11">
      <c r="A22" s="219"/>
      <c r="B22" s="218"/>
      <c r="C22" s="218"/>
      <c r="D22" s="218"/>
      <c r="E22" s="218"/>
      <c r="F22" s="504"/>
      <c r="G22" s="504"/>
      <c r="H22" s="505"/>
      <c r="I22" s="505"/>
      <c r="J22" s="505"/>
      <c r="K22" s="506"/>
    </row>
    <row r="23" spans="1:11">
      <c r="A23" s="219"/>
      <c r="B23" s="218"/>
      <c r="C23" s="218"/>
      <c r="D23" s="218"/>
      <c r="E23" s="218"/>
      <c r="F23" s="504"/>
      <c r="G23" s="504"/>
      <c r="H23" s="505"/>
      <c r="I23" s="505"/>
      <c r="J23" s="505"/>
      <c r="K23" s="506"/>
    </row>
    <row r="24" spans="1:11">
      <c r="A24" s="219"/>
      <c r="B24" s="218"/>
      <c r="C24" s="218"/>
      <c r="D24" s="218"/>
      <c r="E24" s="218"/>
      <c r="F24" s="504"/>
      <c r="G24" s="504"/>
      <c r="H24" s="505"/>
      <c r="I24" s="505"/>
      <c r="J24" s="505"/>
      <c r="K24" s="506"/>
    </row>
    <row r="25" spans="1:11">
      <c r="A25" s="219"/>
      <c r="B25" s="218"/>
      <c r="C25" s="218"/>
      <c r="D25" s="218"/>
      <c r="E25" s="218"/>
      <c r="F25" s="504"/>
      <c r="G25" s="504"/>
      <c r="H25" s="505"/>
      <c r="I25" s="505"/>
      <c r="J25" s="505"/>
      <c r="K25" s="506"/>
    </row>
    <row r="26" spans="1:11">
      <c r="A26" s="219"/>
      <c r="B26" s="218"/>
      <c r="C26" s="218"/>
      <c r="D26" s="218"/>
      <c r="E26" s="218"/>
      <c r="F26" s="504"/>
      <c r="G26" s="504"/>
      <c r="H26" s="505"/>
      <c r="I26" s="505"/>
      <c r="J26" s="505"/>
      <c r="K26" s="506"/>
    </row>
    <row r="27" spans="1:11">
      <c r="A27" s="219"/>
      <c r="B27" s="218"/>
      <c r="C27" s="218"/>
      <c r="D27" s="218"/>
      <c r="E27" s="218"/>
      <c r="F27" s="504"/>
      <c r="G27" s="504"/>
      <c r="H27" s="505"/>
      <c r="I27" s="505"/>
      <c r="J27" s="505"/>
      <c r="K27" s="506"/>
    </row>
    <row r="28" spans="1:11">
      <c r="A28" s="219"/>
      <c r="B28" s="218"/>
      <c r="C28" s="218"/>
      <c r="D28" s="218"/>
      <c r="E28" s="218"/>
      <c r="F28" s="504"/>
      <c r="G28" s="504"/>
      <c r="H28" s="505"/>
      <c r="I28" s="505"/>
      <c r="J28" s="505"/>
      <c r="K28" s="506"/>
    </row>
    <row r="29" spans="1:11">
      <c r="A29" s="219"/>
      <c r="B29" s="218"/>
      <c r="C29" s="218"/>
      <c r="D29" s="218"/>
      <c r="E29" s="218"/>
      <c r="F29" s="504"/>
      <c r="G29" s="504"/>
      <c r="H29" s="505"/>
      <c r="I29" s="505"/>
      <c r="J29" s="505"/>
      <c r="K29" s="506"/>
    </row>
    <row r="30" spans="1:11">
      <c r="A30" s="219"/>
      <c r="B30" s="218"/>
      <c r="C30" s="218"/>
      <c r="D30" s="218"/>
      <c r="E30" s="218"/>
      <c r="F30" s="504"/>
      <c r="G30" s="504"/>
      <c r="H30" s="505"/>
      <c r="I30" s="505"/>
      <c r="J30" s="505"/>
      <c r="K30" s="506"/>
    </row>
    <row r="31" spans="1:11">
      <c r="A31" s="219"/>
      <c r="B31" s="218"/>
      <c r="C31" s="218"/>
      <c r="D31" s="218"/>
      <c r="E31" s="218"/>
      <c r="F31" s="504"/>
      <c r="G31" s="504"/>
      <c r="H31" s="505"/>
      <c r="I31" s="505"/>
      <c r="J31" s="505"/>
      <c r="K31" s="506"/>
    </row>
    <row r="32" spans="1:11">
      <c r="A32" s="219"/>
      <c r="B32" s="218"/>
      <c r="C32" s="218"/>
      <c r="D32" s="218"/>
      <c r="E32" s="218"/>
      <c r="F32" s="504"/>
      <c r="G32" s="504"/>
      <c r="H32" s="505"/>
      <c r="I32" s="505"/>
      <c r="J32" s="505"/>
      <c r="K32" s="506"/>
    </row>
    <row r="33" spans="1:11">
      <c r="A33" s="219"/>
      <c r="B33" s="218"/>
      <c r="C33" s="218"/>
      <c r="D33" s="218"/>
      <c r="E33" s="218"/>
      <c r="F33" s="504"/>
      <c r="G33" s="504"/>
      <c r="H33" s="505"/>
      <c r="I33" s="505"/>
      <c r="J33" s="505"/>
      <c r="K33" s="506"/>
    </row>
    <row r="34" spans="1:11">
      <c r="A34" s="219"/>
      <c r="B34" s="218"/>
      <c r="C34" s="218"/>
      <c r="D34" s="218"/>
      <c r="E34" s="218"/>
      <c r="F34" s="504"/>
      <c r="G34" s="504"/>
      <c r="H34" s="505"/>
      <c r="I34" s="505"/>
      <c r="J34" s="505"/>
      <c r="K34" s="506"/>
    </row>
    <row r="35" spans="1:11">
      <c r="A35" s="219"/>
      <c r="B35" s="218"/>
      <c r="C35" s="218"/>
      <c r="D35" s="218"/>
      <c r="E35" s="218"/>
      <c r="F35" s="504"/>
      <c r="G35" s="504"/>
      <c r="H35" s="505"/>
      <c r="I35" s="505"/>
      <c r="J35" s="505"/>
      <c r="K35" s="506"/>
    </row>
    <row r="36" spans="1:11">
      <c r="A36" s="219"/>
      <c r="B36" s="218"/>
      <c r="C36" s="218"/>
      <c r="D36" s="218"/>
      <c r="E36" s="218"/>
      <c r="F36" s="504"/>
      <c r="G36" s="504"/>
      <c r="H36" s="505"/>
      <c r="I36" s="505"/>
      <c r="J36" s="505"/>
      <c r="K36" s="506"/>
    </row>
    <row r="37" spans="1:11">
      <c r="A37" s="219"/>
      <c r="B37" s="218"/>
      <c r="C37" s="218"/>
      <c r="D37" s="218"/>
      <c r="E37" s="218"/>
      <c r="F37" s="504"/>
      <c r="G37" s="504"/>
      <c r="H37" s="505"/>
      <c r="I37" s="505"/>
      <c r="J37" s="505"/>
      <c r="K37" s="506"/>
    </row>
    <row r="38" spans="1:11">
      <c r="A38" s="219"/>
      <c r="B38" s="218"/>
      <c r="C38" s="218"/>
      <c r="D38" s="218"/>
      <c r="E38" s="218"/>
      <c r="F38" s="504"/>
      <c r="G38" s="504"/>
      <c r="H38" s="505"/>
      <c r="I38" s="505"/>
      <c r="J38" s="505"/>
      <c r="K38" s="506"/>
    </row>
    <row r="39" spans="1:11">
      <c r="A39" s="219"/>
      <c r="B39" s="218"/>
      <c r="C39" s="218"/>
      <c r="D39" s="218"/>
      <c r="E39" s="218"/>
      <c r="F39" s="504"/>
      <c r="G39" s="504"/>
      <c r="H39" s="505"/>
      <c r="I39" s="505"/>
      <c r="J39" s="505"/>
      <c r="K39" s="506"/>
    </row>
    <row r="40" spans="1:11">
      <c r="A40" s="219"/>
      <c r="B40" s="218"/>
      <c r="C40" s="218"/>
      <c r="D40" s="218"/>
      <c r="E40" s="218"/>
      <c r="F40" s="504"/>
      <c r="G40" s="504"/>
      <c r="H40" s="505"/>
      <c r="I40" s="505"/>
      <c r="J40" s="505"/>
      <c r="K40" s="506"/>
    </row>
    <row r="41" spans="1:11">
      <c r="A41" s="219"/>
      <c r="B41" s="218"/>
      <c r="C41" s="218"/>
      <c r="D41" s="218"/>
      <c r="E41" s="218"/>
      <c r="F41" s="504"/>
      <c r="G41" s="504"/>
      <c r="H41" s="505"/>
      <c r="I41" s="505"/>
      <c r="J41" s="505"/>
      <c r="K41" s="506"/>
    </row>
    <row r="42" spans="1:11">
      <c r="A42" s="219"/>
      <c r="B42" s="218"/>
      <c r="C42" s="218"/>
      <c r="D42" s="218"/>
      <c r="E42" s="218"/>
      <c r="F42" s="504"/>
      <c r="G42" s="504"/>
      <c r="H42" s="505"/>
      <c r="I42" s="505"/>
      <c r="J42" s="505"/>
      <c r="K42" s="506"/>
    </row>
    <row r="43" spans="1:11">
      <c r="A43" s="219"/>
      <c r="B43" s="218"/>
      <c r="C43" s="218"/>
      <c r="D43" s="218"/>
      <c r="E43" s="218"/>
      <c r="F43" s="504"/>
      <c r="G43" s="504"/>
      <c r="H43" s="505"/>
      <c r="I43" s="505"/>
      <c r="J43" s="505"/>
      <c r="K43" s="506"/>
    </row>
    <row r="44" spans="1:11">
      <c r="A44" s="219"/>
      <c r="B44" s="218"/>
      <c r="C44" s="218"/>
      <c r="D44" s="218"/>
      <c r="E44" s="218"/>
      <c r="F44" s="504"/>
      <c r="G44" s="504"/>
      <c r="H44" s="505"/>
      <c r="I44" s="505"/>
      <c r="J44" s="505"/>
      <c r="K44" s="506"/>
    </row>
    <row r="45" spans="1:11">
      <c r="A45" s="219"/>
      <c r="B45" s="218"/>
      <c r="C45" s="218"/>
      <c r="D45" s="218"/>
      <c r="E45" s="218"/>
      <c r="F45" s="504"/>
      <c r="G45" s="504"/>
      <c r="H45" s="505"/>
      <c r="I45" s="505"/>
      <c r="J45" s="505"/>
      <c r="K45" s="506"/>
    </row>
    <row r="46" spans="1:11">
      <c r="A46" s="219"/>
      <c r="B46" s="218"/>
      <c r="C46" s="218"/>
      <c r="D46" s="218"/>
      <c r="E46" s="218"/>
      <c r="F46" s="504"/>
      <c r="G46" s="504"/>
      <c r="H46" s="505"/>
      <c r="I46" s="505"/>
      <c r="J46" s="505"/>
      <c r="K46" s="506"/>
    </row>
    <row r="47" spans="1:11">
      <c r="A47" s="219"/>
      <c r="B47" s="218"/>
      <c r="C47" s="218"/>
      <c r="D47" s="218"/>
      <c r="E47" s="218"/>
      <c r="F47" s="504"/>
      <c r="G47" s="504"/>
      <c r="H47" s="505"/>
      <c r="I47" s="505"/>
      <c r="J47" s="505"/>
      <c r="K47" s="506"/>
    </row>
    <row r="48" spans="1:11">
      <c r="A48" s="219"/>
      <c r="B48" s="218"/>
      <c r="C48" s="218"/>
      <c r="D48" s="218"/>
      <c r="E48" s="218"/>
      <c r="F48" s="504"/>
      <c r="G48" s="504"/>
      <c r="H48" s="505"/>
      <c r="I48" s="505"/>
      <c r="J48" s="505"/>
      <c r="K48" s="506"/>
    </row>
    <row r="49" spans="1:11">
      <c r="A49" s="219"/>
      <c r="B49" s="218"/>
      <c r="C49" s="218"/>
      <c r="D49" s="218"/>
      <c r="E49" s="218"/>
      <c r="F49" s="504"/>
      <c r="G49" s="504"/>
      <c r="H49" s="505"/>
      <c r="I49" s="505"/>
      <c r="J49" s="505"/>
      <c r="K49" s="506"/>
    </row>
    <row r="50" spans="1:11">
      <c r="A50" s="219"/>
      <c r="B50" s="218"/>
      <c r="C50" s="218"/>
      <c r="D50" s="218"/>
      <c r="E50" s="218"/>
      <c r="F50" s="504"/>
      <c r="G50" s="504"/>
      <c r="H50" s="505"/>
      <c r="I50" s="505"/>
      <c r="J50" s="505"/>
      <c r="K50" s="506"/>
    </row>
    <row r="51" spans="1:11">
      <c r="A51" s="219"/>
      <c r="B51" s="218"/>
      <c r="C51" s="218"/>
      <c r="D51" s="218"/>
      <c r="E51" s="218"/>
      <c r="F51" s="504"/>
      <c r="G51" s="504"/>
      <c r="H51" s="505"/>
      <c r="I51" s="505"/>
      <c r="J51" s="505"/>
      <c r="K51" s="506"/>
    </row>
    <row r="52" spans="1:11">
      <c r="A52" s="219"/>
      <c r="B52" s="218"/>
      <c r="C52" s="218"/>
      <c r="D52" s="218"/>
      <c r="E52" s="218"/>
      <c r="F52" s="504"/>
      <c r="G52" s="504"/>
      <c r="H52" s="505"/>
      <c r="I52" s="505"/>
      <c r="J52" s="505"/>
      <c r="K52" s="506"/>
    </row>
    <row r="53" spans="1:11">
      <c r="A53" s="219"/>
      <c r="B53" s="218"/>
      <c r="C53" s="218"/>
      <c r="D53" s="218"/>
      <c r="E53" s="218"/>
      <c r="F53" s="504"/>
      <c r="G53" s="504"/>
      <c r="H53" s="505"/>
      <c r="I53" s="505"/>
      <c r="J53" s="505"/>
      <c r="K53" s="506"/>
    </row>
    <row r="54" spans="1:11">
      <c r="A54" s="219"/>
      <c r="B54" s="218"/>
      <c r="C54" s="218"/>
      <c r="D54" s="218"/>
      <c r="E54" s="218"/>
      <c r="F54" s="504"/>
      <c r="G54" s="504"/>
      <c r="H54" s="505"/>
      <c r="I54" s="505"/>
      <c r="J54" s="505"/>
      <c r="K54" s="506"/>
    </row>
    <row r="55" spans="1:11">
      <c r="A55" s="219"/>
      <c r="B55" s="218"/>
      <c r="C55" s="218"/>
      <c r="D55" s="218"/>
      <c r="E55" s="218"/>
      <c r="F55" s="504"/>
      <c r="G55" s="504"/>
      <c r="H55" s="505"/>
      <c r="I55" s="505"/>
      <c r="J55" s="505"/>
      <c r="K55" s="506"/>
    </row>
    <row r="56" spans="1:11">
      <c r="A56" s="219"/>
      <c r="B56" s="218"/>
      <c r="C56" s="218"/>
      <c r="D56" s="218"/>
      <c r="E56" s="218"/>
      <c r="F56" s="504"/>
      <c r="G56" s="504"/>
      <c r="H56" s="505"/>
      <c r="I56" s="505"/>
      <c r="J56" s="505"/>
      <c r="K56" s="506"/>
    </row>
    <row r="57" spans="1:11">
      <c r="A57" s="219"/>
      <c r="B57" s="218"/>
      <c r="C57" s="218"/>
      <c r="D57" s="218"/>
      <c r="E57" s="218"/>
      <c r="F57" s="504"/>
      <c r="G57" s="504"/>
      <c r="H57" s="505"/>
      <c r="I57" s="505"/>
      <c r="J57" s="505"/>
      <c r="K57" s="506"/>
    </row>
    <row r="58" spans="1:11">
      <c r="A58" s="219"/>
      <c r="B58" s="218"/>
      <c r="C58" s="218"/>
      <c r="D58" s="218"/>
      <c r="E58" s="218"/>
      <c r="F58" s="504"/>
      <c r="G58" s="504"/>
      <c r="H58" s="505"/>
      <c r="I58" s="505"/>
      <c r="J58" s="505"/>
      <c r="K58" s="506"/>
    </row>
    <row r="59" spans="1:11">
      <c r="A59" s="219"/>
      <c r="B59" s="218"/>
      <c r="C59" s="218"/>
      <c r="D59" s="218"/>
      <c r="E59" s="218"/>
      <c r="F59" s="504"/>
      <c r="G59" s="504"/>
      <c r="H59" s="505"/>
      <c r="I59" s="505"/>
      <c r="J59" s="505"/>
      <c r="K59" s="506"/>
    </row>
    <row r="60" spans="1:11">
      <c r="A60" s="219"/>
      <c r="B60" s="218"/>
      <c r="C60" s="218"/>
      <c r="D60" s="218"/>
      <c r="E60" s="218"/>
      <c r="F60" s="504"/>
      <c r="G60" s="504"/>
      <c r="H60" s="505"/>
      <c r="I60" s="505"/>
      <c r="J60" s="505"/>
      <c r="K60" s="506"/>
    </row>
    <row r="61" spans="1:11">
      <c r="A61" s="219"/>
      <c r="B61" s="218"/>
      <c r="C61" s="218"/>
      <c r="D61" s="218"/>
      <c r="E61" s="218"/>
      <c r="F61" s="504"/>
      <c r="G61" s="504"/>
      <c r="H61" s="505"/>
      <c r="I61" s="505"/>
      <c r="J61" s="505"/>
      <c r="K61" s="506"/>
    </row>
    <row r="62" spans="1:11">
      <c r="A62" s="219"/>
      <c r="B62" s="218"/>
      <c r="C62" s="218"/>
      <c r="D62" s="218"/>
      <c r="E62" s="218"/>
      <c r="F62" s="504"/>
      <c r="G62" s="504"/>
      <c r="H62" s="505"/>
      <c r="I62" s="505"/>
      <c r="J62" s="505"/>
      <c r="K62" s="506"/>
    </row>
    <row r="63" spans="1:11">
      <c r="A63" s="219"/>
      <c r="B63" s="218"/>
      <c r="C63" s="218"/>
      <c r="D63" s="218"/>
      <c r="E63" s="218"/>
      <c r="F63" s="504"/>
      <c r="G63" s="504"/>
      <c r="H63" s="505"/>
      <c r="I63" s="505"/>
      <c r="J63" s="505"/>
      <c r="K63" s="506"/>
    </row>
    <row r="64" spans="1:11">
      <c r="A64" s="219"/>
      <c r="B64" s="218"/>
      <c r="C64" s="218"/>
      <c r="D64" s="218"/>
      <c r="E64" s="218"/>
      <c r="F64" s="504"/>
      <c r="G64" s="504"/>
      <c r="H64" s="505"/>
      <c r="I64" s="505"/>
      <c r="J64" s="505"/>
      <c r="K64" s="506"/>
    </row>
    <row r="65" spans="1:11">
      <c r="A65" s="219"/>
      <c r="B65" s="218"/>
      <c r="C65" s="218"/>
      <c r="D65" s="218"/>
      <c r="E65" s="218"/>
      <c r="F65" s="504"/>
      <c r="G65" s="504"/>
      <c r="H65" s="505"/>
      <c r="I65" s="505"/>
      <c r="J65" s="505"/>
      <c r="K65" s="506"/>
    </row>
    <row r="66" spans="1:11">
      <c r="A66" s="219"/>
      <c r="B66" s="218"/>
      <c r="C66" s="218"/>
      <c r="D66" s="218"/>
      <c r="E66" s="218"/>
      <c r="F66" s="504"/>
      <c r="G66" s="504"/>
      <c r="H66" s="505"/>
      <c r="I66" s="505"/>
      <c r="J66" s="505"/>
      <c r="K66" s="506"/>
    </row>
    <row r="67" spans="1:11">
      <c r="A67" s="219"/>
      <c r="B67" s="218"/>
      <c r="C67" s="218"/>
      <c r="D67" s="218"/>
      <c r="E67" s="218"/>
      <c r="F67" s="504"/>
      <c r="G67" s="504"/>
      <c r="H67" s="505"/>
      <c r="I67" s="505"/>
      <c r="J67" s="505"/>
      <c r="K67" s="506"/>
    </row>
    <row r="68" spans="1:11">
      <c r="A68" s="219"/>
      <c r="B68" s="218"/>
      <c r="C68" s="218"/>
      <c r="D68" s="218"/>
      <c r="E68" s="218"/>
      <c r="F68" s="504"/>
      <c r="G68" s="504"/>
      <c r="H68" s="505"/>
      <c r="I68" s="505"/>
      <c r="J68" s="505"/>
      <c r="K68" s="506"/>
    </row>
    <row r="69" spans="1:11">
      <c r="A69" s="219"/>
      <c r="B69" s="218"/>
      <c r="C69" s="218"/>
      <c r="D69" s="218"/>
      <c r="E69" s="218"/>
      <c r="F69" s="504"/>
      <c r="G69" s="504"/>
      <c r="H69" s="505"/>
      <c r="I69" s="505"/>
      <c r="J69" s="505"/>
      <c r="K69" s="506"/>
    </row>
    <row r="70" spans="1:11">
      <c r="A70" s="219"/>
      <c r="B70" s="218"/>
      <c r="C70" s="218"/>
      <c r="D70" s="218"/>
      <c r="E70" s="218"/>
      <c r="F70" s="504"/>
      <c r="G70" s="504"/>
      <c r="H70" s="505"/>
      <c r="I70" s="505"/>
      <c r="J70" s="505"/>
      <c r="K70" s="506"/>
    </row>
    <row r="71" spans="1:11">
      <c r="A71" s="219"/>
      <c r="B71" s="218"/>
      <c r="C71" s="218"/>
      <c r="D71" s="218"/>
      <c r="E71" s="218"/>
      <c r="F71" s="504"/>
      <c r="G71" s="504"/>
      <c r="H71" s="505"/>
      <c r="I71" s="505"/>
      <c r="J71" s="505"/>
      <c r="K71" s="506"/>
    </row>
    <row r="72" spans="1:11">
      <c r="A72" s="219"/>
      <c r="B72" s="218"/>
      <c r="C72" s="218"/>
      <c r="D72" s="218"/>
      <c r="E72" s="218"/>
      <c r="F72" s="504"/>
      <c r="G72" s="504"/>
      <c r="H72" s="505"/>
      <c r="I72" s="505"/>
      <c r="J72" s="505"/>
      <c r="K72" s="506"/>
    </row>
    <row r="73" spans="1:11">
      <c r="A73" s="219"/>
      <c r="B73" s="218"/>
      <c r="C73" s="218"/>
      <c r="D73" s="218"/>
      <c r="E73" s="218"/>
      <c r="F73" s="504"/>
      <c r="G73" s="504"/>
      <c r="H73" s="505"/>
      <c r="I73" s="505"/>
      <c r="J73" s="505"/>
      <c r="K73" s="506"/>
    </row>
    <row r="74" spans="1:11">
      <c r="A74" s="219"/>
      <c r="B74" s="218"/>
      <c r="C74" s="218"/>
      <c r="D74" s="218"/>
      <c r="E74" s="218"/>
      <c r="F74" s="504"/>
      <c r="G74" s="504"/>
      <c r="H74" s="505"/>
      <c r="I74" s="505"/>
      <c r="J74" s="505"/>
      <c r="K74" s="506"/>
    </row>
    <row r="75" spans="1:11">
      <c r="A75" s="219"/>
      <c r="B75" s="218"/>
      <c r="C75" s="218"/>
      <c r="D75" s="218"/>
      <c r="E75" s="218"/>
      <c r="F75" s="504"/>
      <c r="G75" s="504"/>
      <c r="H75" s="505"/>
      <c r="I75" s="505"/>
      <c r="J75" s="505"/>
      <c r="K75" s="506"/>
    </row>
    <row r="76" spans="1:11">
      <c r="A76" s="219"/>
      <c r="B76" s="218"/>
      <c r="C76" s="218"/>
      <c r="D76" s="218"/>
      <c r="E76" s="218"/>
      <c r="F76" s="504"/>
      <c r="G76" s="504"/>
      <c r="H76" s="505"/>
      <c r="I76" s="505"/>
      <c r="J76" s="505"/>
      <c r="K76" s="506"/>
    </row>
    <row r="77" spans="1:11">
      <c r="A77" s="219"/>
      <c r="B77" s="218"/>
      <c r="C77" s="218"/>
      <c r="D77" s="218"/>
      <c r="E77" s="218"/>
      <c r="F77" s="504"/>
      <c r="G77" s="504"/>
      <c r="H77" s="505"/>
      <c r="I77" s="505"/>
      <c r="J77" s="505"/>
      <c r="K77" s="506"/>
    </row>
    <row r="78" spans="1:11">
      <c r="A78" s="219"/>
      <c r="B78" s="218"/>
      <c r="C78" s="218"/>
      <c r="D78" s="218"/>
      <c r="E78" s="218"/>
      <c r="F78" s="504"/>
      <c r="G78" s="504"/>
      <c r="H78" s="505"/>
      <c r="I78" s="505"/>
      <c r="J78" s="505"/>
      <c r="K78" s="506"/>
    </row>
    <row r="79" spans="1:11">
      <c r="A79" s="219"/>
      <c r="B79" s="218"/>
      <c r="C79" s="218"/>
      <c r="D79" s="218"/>
      <c r="E79" s="218"/>
      <c r="F79" s="504"/>
      <c r="G79" s="504"/>
      <c r="H79" s="505"/>
      <c r="I79" s="505"/>
      <c r="J79" s="505"/>
      <c r="K79" s="506"/>
    </row>
    <row r="80" spans="1:11">
      <c r="A80" s="219"/>
      <c r="B80" s="218"/>
      <c r="C80" s="218"/>
      <c r="D80" s="218"/>
      <c r="E80" s="218"/>
      <c r="F80" s="504"/>
      <c r="G80" s="504"/>
      <c r="H80" s="505"/>
      <c r="I80" s="505"/>
      <c r="J80" s="505"/>
      <c r="K80" s="506"/>
    </row>
    <row r="81" spans="1:11">
      <c r="A81" s="219"/>
      <c r="B81" s="218"/>
      <c r="C81" s="218"/>
      <c r="D81" s="218"/>
      <c r="E81" s="218"/>
      <c r="F81" s="504"/>
      <c r="G81" s="504"/>
      <c r="H81" s="505"/>
      <c r="I81" s="505"/>
      <c r="J81" s="505"/>
      <c r="K81" s="506"/>
    </row>
    <row r="82" spans="1:11">
      <c r="A82" s="219"/>
      <c r="B82" s="218"/>
      <c r="C82" s="218"/>
      <c r="D82" s="218"/>
      <c r="E82" s="218"/>
      <c r="F82" s="504"/>
      <c r="G82" s="504"/>
      <c r="H82" s="505"/>
      <c r="I82" s="505"/>
      <c r="J82" s="505"/>
      <c r="K82" s="506"/>
    </row>
    <row r="83" spans="1:11">
      <c r="A83" s="219"/>
      <c r="B83" s="218"/>
      <c r="C83" s="218"/>
      <c r="D83" s="218"/>
      <c r="E83" s="218"/>
      <c r="F83" s="504"/>
      <c r="G83" s="504"/>
      <c r="H83" s="505"/>
      <c r="I83" s="505"/>
      <c r="J83" s="505"/>
      <c r="K83" s="506"/>
    </row>
    <row r="84" spans="1:11">
      <c r="A84" s="219"/>
      <c r="B84" s="218"/>
      <c r="C84" s="218"/>
      <c r="D84" s="218"/>
      <c r="E84" s="218"/>
      <c r="F84" s="504"/>
      <c r="G84" s="504"/>
      <c r="H84" s="505"/>
      <c r="I84" s="505"/>
      <c r="J84" s="505"/>
      <c r="K84" s="506"/>
    </row>
    <row r="85" spans="1:11">
      <c r="A85" s="219"/>
      <c r="B85" s="218"/>
      <c r="C85" s="218"/>
      <c r="D85" s="218"/>
      <c r="E85" s="218"/>
      <c r="F85" s="504"/>
      <c r="G85" s="504"/>
      <c r="H85" s="505"/>
      <c r="I85" s="505"/>
      <c r="J85" s="505"/>
      <c r="K85" s="506"/>
    </row>
    <row r="86" spans="1:11">
      <c r="A86" s="219"/>
      <c r="B86" s="218"/>
      <c r="C86" s="218"/>
      <c r="D86" s="218"/>
      <c r="E86" s="218"/>
      <c r="F86" s="504"/>
      <c r="G86" s="504"/>
      <c r="H86" s="505"/>
      <c r="I86" s="505"/>
      <c r="J86" s="505"/>
      <c r="K86" s="506"/>
    </row>
    <row r="87" spans="1:11">
      <c r="A87" s="219"/>
      <c r="B87" s="218"/>
      <c r="C87" s="218"/>
      <c r="D87" s="218"/>
      <c r="E87" s="218"/>
      <c r="F87" s="504"/>
      <c r="G87" s="504"/>
      <c r="H87" s="505"/>
      <c r="I87" s="505"/>
      <c r="J87" s="505"/>
      <c r="K87" s="506"/>
    </row>
    <row r="88" spans="1:11">
      <c r="A88" s="219"/>
      <c r="B88" s="218"/>
      <c r="C88" s="218"/>
      <c r="D88" s="218"/>
      <c r="E88" s="218"/>
      <c r="F88" s="504"/>
      <c r="G88" s="504"/>
      <c r="H88" s="505"/>
      <c r="I88" s="505"/>
      <c r="J88" s="505"/>
      <c r="K88" s="506"/>
    </row>
    <row r="89" spans="1:11">
      <c r="A89" s="219"/>
      <c r="B89" s="218"/>
      <c r="C89" s="218"/>
      <c r="D89" s="218"/>
      <c r="E89" s="218"/>
      <c r="F89" s="504"/>
      <c r="G89" s="504"/>
      <c r="H89" s="505"/>
      <c r="I89" s="505"/>
      <c r="J89" s="505"/>
      <c r="K89" s="506"/>
    </row>
    <row r="90" spans="1:11">
      <c r="A90" s="219"/>
      <c r="B90" s="218"/>
      <c r="C90" s="218"/>
      <c r="D90" s="218"/>
      <c r="E90" s="218"/>
      <c r="F90" s="504"/>
      <c r="G90" s="504"/>
      <c r="H90" s="505"/>
      <c r="I90" s="505"/>
      <c r="J90" s="505"/>
      <c r="K90" s="506"/>
    </row>
    <row r="91" spans="1:11">
      <c r="A91" s="219"/>
      <c r="B91" s="218"/>
      <c r="C91" s="218"/>
      <c r="D91" s="218"/>
      <c r="E91" s="218"/>
      <c r="F91" s="504"/>
      <c r="G91" s="504"/>
      <c r="H91" s="505"/>
      <c r="I91" s="505"/>
      <c r="J91" s="505"/>
      <c r="K91" s="506"/>
    </row>
    <row r="92" spans="1:11">
      <c r="A92" s="219"/>
      <c r="B92" s="218"/>
      <c r="C92" s="218"/>
      <c r="D92" s="218"/>
      <c r="E92" s="218"/>
      <c r="F92" s="504"/>
      <c r="G92" s="504"/>
      <c r="H92" s="505"/>
      <c r="I92" s="505"/>
      <c r="J92" s="505"/>
      <c r="K92" s="506"/>
    </row>
    <row r="93" spans="1:11">
      <c r="A93" s="219"/>
      <c r="B93" s="218"/>
      <c r="C93" s="218"/>
      <c r="D93" s="218"/>
      <c r="E93" s="218"/>
      <c r="F93" s="504"/>
      <c r="G93" s="504"/>
      <c r="H93" s="505"/>
      <c r="I93" s="505"/>
      <c r="J93" s="505"/>
      <c r="K93" s="506"/>
    </row>
    <row r="94" spans="1:11">
      <c r="A94" s="219"/>
      <c r="B94" s="218"/>
      <c r="C94" s="218"/>
      <c r="D94" s="218"/>
      <c r="E94" s="218"/>
      <c r="F94" s="504"/>
      <c r="G94" s="504"/>
      <c r="H94" s="505"/>
      <c r="I94" s="505"/>
      <c r="J94" s="505"/>
      <c r="K94" s="506"/>
    </row>
    <row r="95" spans="1:11">
      <c r="A95" s="219"/>
      <c r="B95" s="218"/>
      <c r="C95" s="218"/>
      <c r="D95" s="218"/>
      <c r="E95" s="218"/>
      <c r="F95" s="504"/>
      <c r="G95" s="504"/>
      <c r="H95" s="505"/>
      <c r="I95" s="505"/>
      <c r="J95" s="505"/>
      <c r="K95" s="506"/>
    </row>
    <row r="96" spans="1:11">
      <c r="A96" s="219"/>
      <c r="B96" s="218"/>
      <c r="C96" s="218"/>
      <c r="D96" s="218"/>
      <c r="E96" s="218"/>
      <c r="F96" s="504"/>
      <c r="G96" s="504"/>
      <c r="H96" s="505"/>
      <c r="I96" s="505"/>
      <c r="J96" s="505"/>
      <c r="K96" s="506"/>
    </row>
    <row r="97" spans="1:11">
      <c r="A97" s="219"/>
      <c r="B97" s="218"/>
      <c r="C97" s="218"/>
      <c r="D97" s="218"/>
      <c r="E97" s="218"/>
      <c r="F97" s="504"/>
      <c r="G97" s="504"/>
      <c r="H97" s="505"/>
      <c r="I97" s="505"/>
      <c r="J97" s="505"/>
      <c r="K97" s="506"/>
    </row>
    <row r="98" spans="1:11">
      <c r="A98" s="219"/>
      <c r="B98" s="218"/>
      <c r="C98" s="218"/>
      <c r="D98" s="218"/>
      <c r="E98" s="218"/>
      <c r="F98" s="504"/>
      <c r="G98" s="504"/>
      <c r="H98" s="505"/>
      <c r="I98" s="505"/>
      <c r="J98" s="505"/>
      <c r="K98" s="506"/>
    </row>
    <row r="99" spans="1:11">
      <c r="A99" s="219"/>
      <c r="B99" s="218"/>
      <c r="C99" s="218"/>
      <c r="D99" s="218"/>
      <c r="E99" s="218"/>
      <c r="F99" s="504"/>
      <c r="G99" s="504"/>
      <c r="H99" s="505"/>
      <c r="I99" s="505"/>
      <c r="J99" s="505"/>
      <c r="K99" s="506"/>
    </row>
    <row r="100" spans="1:11">
      <c r="A100" s="219"/>
      <c r="B100" s="218"/>
      <c r="C100" s="218"/>
      <c r="D100" s="218"/>
      <c r="E100" s="218"/>
      <c r="F100" s="504"/>
      <c r="G100" s="504"/>
      <c r="H100" s="505"/>
      <c r="I100" s="505"/>
      <c r="J100" s="505"/>
      <c r="K100" s="506"/>
    </row>
    <row r="101" spans="1:11">
      <c r="A101" s="219"/>
      <c r="B101" s="218"/>
      <c r="C101" s="218"/>
      <c r="D101" s="218"/>
      <c r="E101" s="218"/>
      <c r="F101" s="504"/>
      <c r="G101" s="504"/>
      <c r="H101" s="505"/>
      <c r="I101" s="505"/>
      <c r="J101" s="505"/>
      <c r="K101" s="506"/>
    </row>
    <row r="102" spans="1:11">
      <c r="A102" s="219"/>
      <c r="B102" s="218"/>
      <c r="C102" s="218"/>
      <c r="D102" s="218"/>
      <c r="E102" s="218"/>
      <c r="F102" s="504"/>
      <c r="G102" s="504"/>
      <c r="H102" s="505"/>
      <c r="I102" s="505"/>
      <c r="J102" s="505"/>
      <c r="K102" s="506"/>
    </row>
    <row r="103" spans="1:11">
      <c r="A103" s="219"/>
      <c r="B103" s="218"/>
      <c r="C103" s="218"/>
      <c r="D103" s="218"/>
      <c r="E103" s="218"/>
      <c r="F103" s="504"/>
      <c r="G103" s="504"/>
      <c r="H103" s="505"/>
      <c r="I103" s="505"/>
      <c r="J103" s="505"/>
      <c r="K103" s="506"/>
    </row>
    <row r="104" spans="1:11">
      <c r="A104" s="219"/>
      <c r="B104" s="218"/>
      <c r="C104" s="218"/>
      <c r="D104" s="218"/>
      <c r="E104" s="218"/>
      <c r="F104" s="504"/>
      <c r="G104" s="504"/>
      <c r="H104" s="505"/>
      <c r="I104" s="505"/>
      <c r="J104" s="505"/>
      <c r="K104" s="506"/>
    </row>
    <row r="105" spans="1:11">
      <c r="A105" s="219"/>
      <c r="B105" s="218"/>
      <c r="C105" s="218"/>
      <c r="D105" s="218"/>
      <c r="E105" s="218"/>
      <c r="F105" s="504"/>
      <c r="G105" s="504"/>
      <c r="H105" s="505"/>
      <c r="I105" s="505"/>
      <c r="J105" s="505"/>
      <c r="K105" s="506"/>
    </row>
    <row r="106" spans="1:11">
      <c r="A106" s="219"/>
      <c r="B106" s="218"/>
      <c r="C106" s="218"/>
      <c r="D106" s="218"/>
      <c r="E106" s="218"/>
      <c r="F106" s="504"/>
      <c r="G106" s="504"/>
      <c r="H106" s="505"/>
      <c r="I106" s="505"/>
      <c r="J106" s="505"/>
      <c r="K106" s="506"/>
    </row>
    <row r="107" spans="1:11">
      <c r="A107" s="219"/>
      <c r="B107" s="218"/>
      <c r="C107" s="218"/>
      <c r="D107" s="218"/>
      <c r="E107" s="218"/>
      <c r="F107" s="504"/>
      <c r="G107" s="504"/>
      <c r="H107" s="505"/>
      <c r="I107" s="505"/>
      <c r="J107" s="505"/>
      <c r="K107" s="506"/>
    </row>
    <row r="108" spans="1:11">
      <c r="A108" s="219"/>
      <c r="B108" s="218"/>
      <c r="C108" s="218"/>
      <c r="D108" s="218"/>
      <c r="E108" s="218"/>
      <c r="F108" s="504"/>
      <c r="G108" s="504"/>
      <c r="H108" s="505"/>
      <c r="I108" s="505"/>
      <c r="J108" s="505"/>
      <c r="K108" s="506"/>
    </row>
    <row r="109" spans="1:11">
      <c r="A109" s="219"/>
      <c r="B109" s="218"/>
      <c r="C109" s="218"/>
      <c r="D109" s="218"/>
      <c r="E109" s="218"/>
      <c r="F109" s="504"/>
      <c r="G109" s="504"/>
      <c r="H109" s="505"/>
      <c r="I109" s="505"/>
      <c r="J109" s="505"/>
      <c r="K109" s="506"/>
    </row>
    <row r="110" spans="1:11">
      <c r="A110" s="219"/>
      <c r="B110" s="218"/>
      <c r="C110" s="218"/>
      <c r="D110" s="218"/>
      <c r="E110" s="218"/>
      <c r="F110" s="504"/>
      <c r="G110" s="504"/>
      <c r="H110" s="505"/>
      <c r="I110" s="505"/>
      <c r="J110" s="505"/>
      <c r="K110" s="506"/>
    </row>
    <row r="111" spans="1:11">
      <c r="A111" s="219"/>
      <c r="B111" s="218"/>
      <c r="C111" s="218"/>
      <c r="D111" s="218"/>
      <c r="E111" s="218"/>
      <c r="F111" s="504"/>
      <c r="G111" s="504"/>
      <c r="H111" s="505"/>
      <c r="I111" s="505"/>
      <c r="J111" s="505"/>
      <c r="K111" s="506"/>
    </row>
    <row r="112" spans="1:11">
      <c r="A112" s="219"/>
      <c r="B112" s="218"/>
      <c r="C112" s="218"/>
      <c r="D112" s="218"/>
      <c r="E112" s="218"/>
      <c r="F112" s="504"/>
      <c r="G112" s="504"/>
      <c r="H112" s="505"/>
      <c r="I112" s="505"/>
      <c r="J112" s="505"/>
      <c r="K112" s="506"/>
    </row>
    <row r="113" spans="1:11">
      <c r="A113" s="219"/>
      <c r="B113" s="218"/>
      <c r="C113" s="218"/>
      <c r="D113" s="218"/>
      <c r="E113" s="218"/>
      <c r="F113" s="504"/>
      <c r="G113" s="504"/>
      <c r="H113" s="505"/>
      <c r="I113" s="505"/>
      <c r="J113" s="505"/>
      <c r="K113" s="506"/>
    </row>
    <row r="114" spans="1:11">
      <c r="A114" s="219"/>
      <c r="B114" s="218"/>
      <c r="C114" s="218"/>
      <c r="D114" s="218"/>
      <c r="E114" s="218"/>
      <c r="F114" s="504"/>
      <c r="G114" s="504"/>
      <c r="H114" s="505"/>
      <c r="I114" s="505"/>
      <c r="J114" s="505"/>
      <c r="K114" s="506"/>
    </row>
    <row r="115" spans="1:11">
      <c r="A115" s="219"/>
      <c r="B115" s="218"/>
      <c r="C115" s="218"/>
      <c r="D115" s="218"/>
      <c r="E115" s="218"/>
      <c r="F115" s="504"/>
      <c r="G115" s="504"/>
      <c r="H115" s="505"/>
      <c r="I115" s="505"/>
      <c r="J115" s="505"/>
      <c r="K115" s="506"/>
    </row>
    <row r="116" spans="1:11">
      <c r="A116" s="219"/>
      <c r="B116" s="218"/>
      <c r="C116" s="218"/>
      <c r="D116" s="218"/>
      <c r="E116" s="218"/>
      <c r="F116" s="504"/>
      <c r="G116" s="504"/>
      <c r="H116" s="505"/>
      <c r="I116" s="505"/>
      <c r="J116" s="505"/>
      <c r="K116" s="506"/>
    </row>
    <row r="117" spans="1:11">
      <c r="A117" s="219"/>
      <c r="B117" s="218"/>
      <c r="C117" s="218"/>
      <c r="D117" s="218"/>
      <c r="E117" s="218"/>
      <c r="F117" s="504"/>
      <c r="G117" s="504"/>
      <c r="H117" s="505"/>
      <c r="I117" s="505"/>
      <c r="J117" s="505"/>
      <c r="K117" s="506"/>
    </row>
    <row r="118" spans="1:11">
      <c r="A118" s="219"/>
      <c r="B118" s="218"/>
      <c r="C118" s="218"/>
      <c r="D118" s="218"/>
      <c r="E118" s="218"/>
      <c r="F118" s="504"/>
      <c r="G118" s="504"/>
      <c r="H118" s="505"/>
      <c r="I118" s="505"/>
      <c r="J118" s="505"/>
      <c r="K118" s="506"/>
    </row>
    <row r="119" spans="1:11">
      <c r="A119" s="219"/>
      <c r="B119" s="218"/>
      <c r="C119" s="218"/>
      <c r="D119" s="218"/>
      <c r="E119" s="218"/>
      <c r="F119" s="504"/>
      <c r="G119" s="504"/>
      <c r="H119" s="505"/>
      <c r="I119" s="505"/>
      <c r="J119" s="505"/>
      <c r="K119" s="506"/>
    </row>
    <row r="120" spans="1:11">
      <c r="A120" s="219"/>
      <c r="B120" s="218"/>
      <c r="C120" s="218"/>
      <c r="D120" s="218"/>
      <c r="E120" s="218"/>
      <c r="F120" s="504"/>
      <c r="G120" s="504"/>
      <c r="H120" s="505"/>
      <c r="I120" s="505"/>
      <c r="J120" s="505"/>
      <c r="K120" s="506"/>
    </row>
    <row r="121" spans="1:11">
      <c r="A121" s="219"/>
      <c r="B121" s="218"/>
      <c r="C121" s="218"/>
      <c r="D121" s="218"/>
      <c r="E121" s="218"/>
      <c r="F121" s="504"/>
      <c r="G121" s="504"/>
      <c r="H121" s="505"/>
      <c r="I121" s="505"/>
      <c r="J121" s="505"/>
      <c r="K121" s="506"/>
    </row>
    <row r="122" spans="1:11">
      <c r="A122" s="219"/>
      <c r="B122" s="218"/>
      <c r="C122" s="218"/>
      <c r="D122" s="218"/>
      <c r="E122" s="218"/>
      <c r="F122" s="504"/>
      <c r="G122" s="504"/>
      <c r="H122" s="505"/>
      <c r="I122" s="505"/>
      <c r="J122" s="505"/>
      <c r="K122" s="506"/>
    </row>
    <row r="123" spans="1:11">
      <c r="A123" s="219"/>
      <c r="B123" s="218"/>
      <c r="C123" s="218"/>
      <c r="D123" s="218"/>
      <c r="E123" s="218"/>
      <c r="F123" s="504"/>
      <c r="G123" s="504"/>
      <c r="H123" s="505"/>
      <c r="I123" s="505"/>
      <c r="J123" s="505"/>
      <c r="K123" s="506"/>
    </row>
    <row r="124" spans="1:11">
      <c r="A124" s="219"/>
      <c r="B124" s="218"/>
      <c r="C124" s="218"/>
      <c r="D124" s="218"/>
      <c r="E124" s="218"/>
      <c r="F124" s="504"/>
      <c r="G124" s="504"/>
      <c r="H124" s="505"/>
      <c r="I124" s="505"/>
      <c r="J124" s="505"/>
      <c r="K124" s="506"/>
    </row>
    <row r="125" spans="1:11">
      <c r="A125" s="219"/>
      <c r="B125" s="218"/>
      <c r="C125" s="218"/>
      <c r="D125" s="218"/>
      <c r="E125" s="218"/>
      <c r="F125" s="504"/>
      <c r="G125" s="504"/>
      <c r="H125" s="505"/>
      <c r="I125" s="505"/>
      <c r="J125" s="505"/>
      <c r="K125" s="506"/>
    </row>
    <row r="126" spans="1:11">
      <c r="A126" s="219"/>
      <c r="B126" s="218"/>
      <c r="C126" s="218"/>
      <c r="D126" s="218"/>
      <c r="E126" s="218"/>
      <c r="F126" s="504"/>
      <c r="G126" s="504"/>
      <c r="H126" s="505"/>
      <c r="I126" s="505"/>
      <c r="J126" s="505"/>
      <c r="K126" s="506"/>
    </row>
    <row r="127" spans="1:11">
      <c r="A127" s="219"/>
      <c r="B127" s="218"/>
      <c r="C127" s="218"/>
      <c r="D127" s="218"/>
      <c r="E127" s="218"/>
      <c r="F127" s="504"/>
      <c r="G127" s="504"/>
      <c r="H127" s="505"/>
      <c r="I127" s="505"/>
      <c r="J127" s="505"/>
      <c r="K127" s="506"/>
    </row>
    <row r="128" spans="1:11">
      <c r="A128" s="219"/>
      <c r="B128" s="218"/>
      <c r="C128" s="218"/>
      <c r="D128" s="218"/>
      <c r="E128" s="218"/>
      <c r="F128" s="504"/>
      <c r="G128" s="504"/>
      <c r="H128" s="505"/>
      <c r="I128" s="505"/>
      <c r="J128" s="505"/>
      <c r="K128" s="506"/>
    </row>
    <row r="129" spans="1:11">
      <c r="A129" s="219"/>
      <c r="B129" s="218"/>
      <c r="C129" s="218"/>
      <c r="D129" s="218"/>
      <c r="E129" s="218"/>
      <c r="F129" s="504"/>
      <c r="G129" s="504"/>
      <c r="H129" s="505"/>
      <c r="I129" s="505"/>
      <c r="J129" s="505"/>
      <c r="K129" s="506"/>
    </row>
    <row r="130" spans="1:11">
      <c r="A130" s="219"/>
      <c r="B130" s="218"/>
      <c r="C130" s="218"/>
      <c r="D130" s="218"/>
      <c r="E130" s="218"/>
      <c r="F130" s="504"/>
      <c r="G130" s="504"/>
      <c r="H130" s="505"/>
      <c r="I130" s="505"/>
      <c r="J130" s="505"/>
      <c r="K130" s="506"/>
    </row>
    <row r="131" spans="1:11">
      <c r="A131" s="219"/>
      <c r="B131" s="218"/>
      <c r="C131" s="218"/>
      <c r="D131" s="218"/>
      <c r="E131" s="218"/>
      <c r="F131" s="504"/>
      <c r="G131" s="504"/>
      <c r="H131" s="505"/>
      <c r="I131" s="505"/>
      <c r="J131" s="505"/>
      <c r="K131" s="506"/>
    </row>
    <row r="132" spans="1:11">
      <c r="A132" s="219"/>
      <c r="B132" s="218"/>
      <c r="C132" s="218"/>
      <c r="D132" s="218"/>
      <c r="E132" s="218"/>
      <c r="F132" s="504"/>
      <c r="G132" s="504"/>
      <c r="H132" s="505"/>
      <c r="I132" s="505"/>
      <c r="J132" s="505"/>
      <c r="K132" s="506"/>
    </row>
    <row r="133" spans="1:11">
      <c r="A133" s="219"/>
      <c r="B133" s="218"/>
      <c r="C133" s="218"/>
      <c r="D133" s="218"/>
      <c r="E133" s="218"/>
      <c r="F133" s="504"/>
      <c r="G133" s="504"/>
      <c r="H133" s="505"/>
      <c r="I133" s="505"/>
      <c r="J133" s="505"/>
      <c r="K133" s="506"/>
    </row>
    <row r="134" spans="1:11">
      <c r="A134" s="219"/>
      <c r="B134" s="218"/>
      <c r="C134" s="218"/>
      <c r="D134" s="218"/>
      <c r="E134" s="218"/>
      <c r="F134" s="504"/>
      <c r="G134" s="504"/>
      <c r="H134" s="505"/>
      <c r="I134" s="505"/>
      <c r="J134" s="505"/>
      <c r="K134" s="506"/>
    </row>
    <row r="135" spans="1:11">
      <c r="A135" s="219"/>
      <c r="B135" s="218"/>
      <c r="C135" s="218"/>
      <c r="D135" s="218"/>
      <c r="E135" s="218"/>
      <c r="F135" s="504"/>
      <c r="G135" s="504"/>
      <c r="H135" s="505"/>
      <c r="I135" s="505"/>
      <c r="J135" s="505"/>
      <c r="K135" s="506"/>
    </row>
    <row r="136" spans="1:11">
      <c r="A136" s="219"/>
      <c r="B136" s="218"/>
      <c r="C136" s="218"/>
      <c r="D136" s="218"/>
      <c r="E136" s="218"/>
      <c r="F136" s="504"/>
      <c r="G136" s="504"/>
      <c r="H136" s="505"/>
      <c r="I136" s="505"/>
      <c r="J136" s="505"/>
      <c r="K136" s="506"/>
    </row>
    <row r="137" spans="1:11">
      <c r="A137" s="219"/>
      <c r="B137" s="218"/>
      <c r="C137" s="218"/>
      <c r="D137" s="218"/>
      <c r="E137" s="218"/>
      <c r="F137" s="504"/>
      <c r="G137" s="504"/>
      <c r="H137" s="505"/>
      <c r="I137" s="505"/>
      <c r="J137" s="505"/>
      <c r="K137" s="506"/>
    </row>
    <row r="138" spans="1:11">
      <c r="A138" s="219"/>
      <c r="B138" s="218"/>
      <c r="C138" s="218"/>
      <c r="D138" s="218"/>
      <c r="E138" s="218"/>
      <c r="F138" s="504"/>
      <c r="G138" s="504"/>
      <c r="H138" s="505"/>
      <c r="I138" s="505"/>
      <c r="J138" s="505"/>
      <c r="K138" s="506"/>
    </row>
    <row r="139" spans="1:11">
      <c r="A139" s="219"/>
      <c r="B139" s="218"/>
      <c r="C139" s="218"/>
      <c r="D139" s="218"/>
      <c r="E139" s="218"/>
      <c r="F139" s="504"/>
      <c r="G139" s="504"/>
      <c r="H139" s="505"/>
      <c r="I139" s="505"/>
      <c r="J139" s="505"/>
      <c r="K139" s="506"/>
    </row>
    <row r="140" spans="1:11">
      <c r="A140" s="219"/>
      <c r="B140" s="218"/>
      <c r="C140" s="218"/>
      <c r="D140" s="218"/>
      <c r="E140" s="218"/>
      <c r="F140" s="504"/>
      <c r="G140" s="504"/>
      <c r="H140" s="505"/>
      <c r="I140" s="505"/>
      <c r="J140" s="505"/>
      <c r="K140" s="506"/>
    </row>
    <row r="141" spans="1:11">
      <c r="A141" s="219"/>
      <c r="B141" s="218"/>
      <c r="C141" s="218"/>
      <c r="D141" s="218"/>
      <c r="E141" s="218"/>
      <c r="F141" s="504"/>
      <c r="G141" s="504"/>
      <c r="H141" s="505"/>
      <c r="I141" s="505"/>
      <c r="J141" s="505"/>
      <c r="K141" s="506"/>
    </row>
    <row r="142" spans="1:11">
      <c r="A142" s="219"/>
      <c r="B142" s="218"/>
      <c r="C142" s="218"/>
      <c r="D142" s="218"/>
      <c r="E142" s="218"/>
      <c r="F142" s="504"/>
      <c r="G142" s="504"/>
      <c r="H142" s="505"/>
      <c r="I142" s="505"/>
      <c r="J142" s="505"/>
      <c r="K142" s="506"/>
    </row>
    <row r="143" spans="1:11">
      <c r="A143" s="219"/>
      <c r="B143" s="218"/>
      <c r="C143" s="218"/>
      <c r="D143" s="218"/>
      <c r="E143" s="218"/>
      <c r="F143" s="504"/>
      <c r="G143" s="504"/>
      <c r="H143" s="505"/>
      <c r="I143" s="505"/>
      <c r="J143" s="505"/>
      <c r="K143" s="506"/>
    </row>
    <row r="144" spans="1:11">
      <c r="A144" s="219"/>
      <c r="B144" s="218"/>
      <c r="C144" s="218"/>
      <c r="D144" s="218"/>
      <c r="E144" s="218"/>
      <c r="F144" s="504"/>
      <c r="G144" s="504"/>
      <c r="H144" s="505"/>
      <c r="I144" s="505"/>
      <c r="J144" s="505"/>
      <c r="K144" s="506"/>
    </row>
    <row r="145" spans="1:11">
      <c r="A145" s="219"/>
      <c r="B145" s="218"/>
      <c r="C145" s="218"/>
      <c r="D145" s="218"/>
      <c r="E145" s="218"/>
      <c r="F145" s="504"/>
      <c r="G145" s="504"/>
      <c r="H145" s="505"/>
      <c r="I145" s="505"/>
      <c r="J145" s="505"/>
      <c r="K145" s="506"/>
    </row>
    <row r="146" spans="1:11">
      <c r="A146" s="219"/>
      <c r="B146" s="218"/>
      <c r="C146" s="218"/>
      <c r="D146" s="218"/>
      <c r="E146" s="218"/>
      <c r="F146" s="504"/>
      <c r="G146" s="504"/>
      <c r="H146" s="505"/>
      <c r="I146" s="505"/>
      <c r="J146" s="505"/>
      <c r="K146" s="506"/>
    </row>
    <row r="147" spans="1:11">
      <c r="A147" s="219"/>
      <c r="B147" s="218"/>
      <c r="C147" s="218"/>
      <c r="D147" s="218"/>
      <c r="E147" s="218"/>
      <c r="F147" s="504"/>
      <c r="G147" s="504"/>
      <c r="H147" s="505"/>
      <c r="I147" s="505"/>
      <c r="J147" s="505"/>
      <c r="K147" s="506"/>
    </row>
    <row r="148" spans="1:11">
      <c r="A148" s="219"/>
      <c r="B148" s="218"/>
      <c r="C148" s="218"/>
      <c r="D148" s="218"/>
      <c r="E148" s="218"/>
      <c r="F148" s="504"/>
      <c r="G148" s="504"/>
      <c r="H148" s="505"/>
      <c r="I148" s="505"/>
      <c r="J148" s="505"/>
      <c r="K148" s="506"/>
    </row>
    <row r="149" spans="1:11">
      <c r="A149" s="219"/>
      <c r="B149" s="218"/>
      <c r="C149" s="218"/>
      <c r="D149" s="218"/>
      <c r="E149" s="218"/>
      <c r="F149" s="504"/>
      <c r="G149" s="504"/>
      <c r="H149" s="505"/>
      <c r="I149" s="505"/>
      <c r="J149" s="505"/>
      <c r="K149" s="506"/>
    </row>
    <row r="150" spans="1:11">
      <c r="A150" s="219"/>
      <c r="B150" s="218"/>
      <c r="C150" s="218"/>
      <c r="D150" s="218"/>
      <c r="E150" s="218"/>
      <c r="F150" s="504"/>
      <c r="G150" s="504"/>
      <c r="H150" s="505"/>
      <c r="I150" s="505"/>
      <c r="J150" s="505"/>
      <c r="K150" s="506"/>
    </row>
    <row r="151" spans="1:11">
      <c r="A151" s="219"/>
      <c r="B151" s="218"/>
      <c r="C151" s="218"/>
      <c r="D151" s="218"/>
      <c r="E151" s="218"/>
      <c r="F151" s="504"/>
      <c r="G151" s="504"/>
      <c r="H151" s="505"/>
      <c r="I151" s="505"/>
      <c r="J151" s="505"/>
      <c r="K151" s="506"/>
    </row>
    <row r="152" spans="1:11">
      <c r="A152" s="219"/>
      <c r="B152" s="218"/>
      <c r="C152" s="218"/>
      <c r="D152" s="218"/>
      <c r="E152" s="218"/>
      <c r="F152" s="504"/>
      <c r="G152" s="504"/>
      <c r="H152" s="505"/>
      <c r="I152" s="505"/>
      <c r="J152" s="505"/>
      <c r="K152" s="506"/>
    </row>
    <row r="153" spans="1:11">
      <c r="A153" s="219"/>
      <c r="B153" s="218"/>
      <c r="C153" s="218"/>
      <c r="D153" s="218"/>
      <c r="E153" s="218"/>
      <c r="F153" s="504"/>
      <c r="G153" s="504"/>
      <c r="H153" s="505"/>
      <c r="I153" s="505"/>
      <c r="J153" s="505"/>
      <c r="K153" s="506"/>
    </row>
    <row r="154" spans="1:11">
      <c r="A154" s="219"/>
      <c r="B154" s="218"/>
      <c r="C154" s="218"/>
      <c r="D154" s="218"/>
      <c r="E154" s="218"/>
      <c r="F154" s="504"/>
      <c r="G154" s="504"/>
      <c r="H154" s="505"/>
      <c r="I154" s="505"/>
      <c r="J154" s="505"/>
      <c r="K154" s="506"/>
    </row>
    <row r="155" spans="1:11">
      <c r="A155" s="219"/>
      <c r="B155" s="218"/>
      <c r="C155" s="218"/>
      <c r="D155" s="218"/>
      <c r="E155" s="218"/>
      <c r="F155" s="504"/>
      <c r="G155" s="504"/>
      <c r="H155" s="505"/>
      <c r="I155" s="505"/>
      <c r="J155" s="505"/>
      <c r="K155" s="506"/>
    </row>
    <row r="156" spans="1:11">
      <c r="A156" s="219"/>
      <c r="B156" s="218"/>
      <c r="C156" s="218"/>
      <c r="D156" s="218"/>
      <c r="E156" s="218"/>
      <c r="F156" s="504"/>
      <c r="G156" s="504"/>
      <c r="H156" s="505"/>
      <c r="I156" s="505"/>
      <c r="J156" s="505"/>
      <c r="K156" s="506"/>
    </row>
    <row r="157" spans="1:11">
      <c r="A157" s="219"/>
      <c r="B157" s="218"/>
      <c r="C157" s="218"/>
      <c r="D157" s="218"/>
      <c r="E157" s="218"/>
      <c r="F157" s="504"/>
      <c r="G157" s="504"/>
      <c r="H157" s="505"/>
      <c r="I157" s="505"/>
      <c r="J157" s="505"/>
      <c r="K157" s="506"/>
    </row>
    <row r="158" spans="1:11">
      <c r="A158" s="219"/>
      <c r="B158" s="218"/>
      <c r="C158" s="218"/>
      <c r="D158" s="218"/>
      <c r="E158" s="218"/>
      <c r="F158" s="504"/>
      <c r="G158" s="504"/>
      <c r="H158" s="505"/>
      <c r="I158" s="505"/>
      <c r="J158" s="505"/>
      <c r="K158" s="506"/>
    </row>
    <row r="159" spans="1:11">
      <c r="A159" s="219"/>
      <c r="B159" s="218"/>
      <c r="C159" s="218"/>
      <c r="D159" s="218"/>
      <c r="E159" s="218"/>
      <c r="F159" s="504"/>
      <c r="G159" s="504"/>
      <c r="H159" s="505"/>
      <c r="I159" s="505"/>
      <c r="J159" s="505"/>
      <c r="K159" s="506"/>
    </row>
    <row r="160" spans="1:11">
      <c r="A160" s="219"/>
      <c r="B160" s="218"/>
      <c r="C160" s="218"/>
      <c r="D160" s="218"/>
      <c r="E160" s="218"/>
      <c r="F160" s="504"/>
      <c r="G160" s="504"/>
      <c r="H160" s="505"/>
      <c r="I160" s="505"/>
      <c r="J160" s="505"/>
      <c r="K160" s="506"/>
    </row>
    <row r="161" spans="1:11">
      <c r="A161" s="219"/>
      <c r="B161" s="218"/>
      <c r="C161" s="218"/>
      <c r="D161" s="218"/>
      <c r="E161" s="218"/>
      <c r="F161" s="504"/>
      <c r="G161" s="504"/>
      <c r="H161" s="505"/>
      <c r="I161" s="505"/>
      <c r="J161" s="505"/>
      <c r="K161" s="506"/>
    </row>
    <row r="162" spans="1:11">
      <c r="A162" s="219"/>
      <c r="B162" s="218"/>
      <c r="C162" s="218"/>
      <c r="D162" s="218"/>
      <c r="E162" s="218"/>
      <c r="F162" s="504"/>
      <c r="G162" s="504"/>
      <c r="H162" s="505"/>
      <c r="I162" s="505"/>
      <c r="J162" s="505"/>
      <c r="K162" s="506"/>
    </row>
    <row r="163" spans="1:11">
      <c r="A163" s="219"/>
      <c r="B163" s="218"/>
      <c r="C163" s="218"/>
      <c r="D163" s="218"/>
      <c r="E163" s="218"/>
      <c r="F163" s="504"/>
      <c r="G163" s="504"/>
      <c r="H163" s="505"/>
      <c r="I163" s="505"/>
      <c r="J163" s="505"/>
      <c r="K163" s="506"/>
    </row>
    <row r="164" spans="1:11">
      <c r="A164" s="219"/>
      <c r="B164" s="218"/>
      <c r="C164" s="218"/>
      <c r="D164" s="218"/>
      <c r="E164" s="218"/>
      <c r="F164" s="504"/>
      <c r="G164" s="504"/>
      <c r="H164" s="505"/>
      <c r="I164" s="505"/>
      <c r="J164" s="505"/>
      <c r="K164" s="506"/>
    </row>
    <row r="165" spans="1:11">
      <c r="A165" s="219"/>
      <c r="B165" s="218"/>
      <c r="C165" s="218"/>
      <c r="D165" s="218"/>
      <c r="E165" s="218"/>
      <c r="F165" s="504"/>
      <c r="G165" s="504"/>
      <c r="H165" s="505"/>
      <c r="I165" s="505"/>
      <c r="J165" s="505"/>
      <c r="K165" s="506"/>
    </row>
    <row r="166" spans="1:11">
      <c r="A166" s="219"/>
      <c r="B166" s="218"/>
      <c r="C166" s="218"/>
      <c r="D166" s="218"/>
      <c r="E166" s="218"/>
      <c r="F166" s="504"/>
      <c r="G166" s="504"/>
      <c r="H166" s="505"/>
      <c r="I166" s="505"/>
      <c r="J166" s="505"/>
      <c r="K166" s="506"/>
    </row>
    <row r="167" spans="1:11">
      <c r="A167" s="219"/>
      <c r="B167" s="218"/>
      <c r="C167" s="218"/>
      <c r="D167" s="218"/>
      <c r="E167" s="218"/>
      <c r="F167" s="504"/>
      <c r="G167" s="504"/>
      <c r="H167" s="505"/>
      <c r="I167" s="505"/>
      <c r="J167" s="505"/>
      <c r="K167" s="506"/>
    </row>
    <row r="168" spans="1:11">
      <c r="A168" s="219"/>
      <c r="B168" s="218"/>
      <c r="C168" s="218"/>
      <c r="D168" s="218"/>
      <c r="E168" s="218"/>
      <c r="F168" s="504"/>
      <c r="G168" s="504"/>
      <c r="H168" s="505"/>
      <c r="I168" s="505"/>
      <c r="J168" s="505"/>
      <c r="K168" s="506"/>
    </row>
    <row r="169" spans="1:11">
      <c r="A169" s="219"/>
      <c r="B169" s="218"/>
      <c r="C169" s="218"/>
      <c r="D169" s="218"/>
      <c r="E169" s="218"/>
      <c r="F169" s="504"/>
      <c r="G169" s="504"/>
      <c r="H169" s="505"/>
      <c r="I169" s="505"/>
      <c r="J169" s="505"/>
      <c r="K169" s="506"/>
    </row>
    <row r="170" spans="1:11">
      <c r="A170" s="219"/>
      <c r="B170" s="218"/>
      <c r="C170" s="218"/>
      <c r="D170" s="218"/>
      <c r="E170" s="218"/>
      <c r="F170" s="504"/>
      <c r="G170" s="504"/>
      <c r="H170" s="505"/>
      <c r="I170" s="505"/>
      <c r="J170" s="505"/>
      <c r="K170" s="506"/>
    </row>
    <row r="171" spans="1:11">
      <c r="A171" s="219"/>
      <c r="B171" s="218"/>
      <c r="C171" s="218"/>
      <c r="D171" s="218"/>
      <c r="E171" s="218"/>
      <c r="F171" s="504"/>
      <c r="G171" s="504"/>
      <c r="H171" s="505"/>
      <c r="I171" s="505"/>
      <c r="J171" s="505"/>
      <c r="K171" s="506"/>
    </row>
    <row r="172" spans="1:11">
      <c r="A172" s="219"/>
      <c r="B172" s="218"/>
      <c r="C172" s="218"/>
      <c r="D172" s="218"/>
      <c r="E172" s="218"/>
      <c r="F172" s="504"/>
      <c r="G172" s="504"/>
      <c r="H172" s="505"/>
      <c r="I172" s="505"/>
      <c r="J172" s="505"/>
      <c r="K172" s="506"/>
    </row>
    <row r="173" spans="1:11">
      <c r="A173" s="219"/>
      <c r="B173" s="218"/>
      <c r="C173" s="218"/>
      <c r="D173" s="218"/>
      <c r="E173" s="218"/>
      <c r="F173" s="504"/>
      <c r="G173" s="504"/>
      <c r="H173" s="505"/>
      <c r="I173" s="505"/>
      <c r="J173" s="505"/>
      <c r="K173" s="506"/>
    </row>
    <row r="174" spans="1:11">
      <c r="A174" s="219"/>
      <c r="B174" s="218"/>
      <c r="C174" s="218"/>
      <c r="D174" s="218"/>
      <c r="E174" s="218"/>
      <c r="F174" s="504"/>
      <c r="G174" s="504"/>
      <c r="H174" s="505"/>
      <c r="I174" s="505"/>
      <c r="J174" s="505"/>
      <c r="K174" s="506"/>
    </row>
    <row r="175" spans="1:11">
      <c r="A175" s="219"/>
      <c r="B175" s="218"/>
      <c r="C175" s="218"/>
      <c r="D175" s="218"/>
      <c r="E175" s="218"/>
      <c r="F175" s="504"/>
      <c r="G175" s="504"/>
      <c r="H175" s="505"/>
      <c r="I175" s="505"/>
      <c r="J175" s="505"/>
      <c r="K175" s="506"/>
    </row>
    <row r="176" spans="1:11">
      <c r="A176" s="219"/>
      <c r="B176" s="218"/>
      <c r="C176" s="218"/>
      <c r="D176" s="218"/>
      <c r="E176" s="218"/>
      <c r="F176" s="504"/>
      <c r="G176" s="504"/>
      <c r="H176" s="505"/>
      <c r="I176" s="505"/>
      <c r="J176" s="505"/>
      <c r="K176" s="506"/>
    </row>
    <row r="177" spans="1:11">
      <c r="A177" s="219"/>
      <c r="B177" s="218"/>
      <c r="C177" s="218"/>
      <c r="D177" s="218"/>
      <c r="E177" s="218"/>
      <c r="F177" s="504"/>
      <c r="G177" s="504"/>
      <c r="H177" s="505"/>
      <c r="I177" s="505"/>
      <c r="J177" s="505"/>
      <c r="K177" s="506"/>
    </row>
    <row r="178" spans="1:11">
      <c r="A178" s="219"/>
      <c r="B178" s="218"/>
      <c r="C178" s="218"/>
      <c r="D178" s="218"/>
      <c r="E178" s="218"/>
      <c r="F178" s="504"/>
      <c r="G178" s="504"/>
      <c r="H178" s="505"/>
      <c r="I178" s="505"/>
      <c r="J178" s="505"/>
      <c r="K178" s="506"/>
    </row>
    <row r="179" spans="1:11">
      <c r="A179" s="219"/>
      <c r="B179" s="218"/>
      <c r="C179" s="218"/>
      <c r="D179" s="218"/>
      <c r="E179" s="218"/>
      <c r="F179" s="504"/>
      <c r="G179" s="504"/>
      <c r="H179" s="505"/>
      <c r="I179" s="505"/>
      <c r="J179" s="505"/>
      <c r="K179" s="506"/>
    </row>
    <row r="180" spans="1:11">
      <c r="A180" s="219"/>
      <c r="B180" s="218"/>
      <c r="C180" s="218"/>
      <c r="D180" s="218"/>
      <c r="E180" s="218"/>
      <c r="F180" s="504"/>
      <c r="G180" s="504"/>
      <c r="H180" s="505"/>
      <c r="I180" s="505"/>
      <c r="J180" s="505"/>
      <c r="K180" s="506"/>
    </row>
    <row r="181" spans="1:11">
      <c r="A181" s="219"/>
      <c r="B181" s="218"/>
      <c r="C181" s="218"/>
      <c r="D181" s="218"/>
      <c r="E181" s="218"/>
      <c r="F181" s="504"/>
      <c r="G181" s="504"/>
      <c r="H181" s="505"/>
      <c r="I181" s="505"/>
      <c r="J181" s="505"/>
      <c r="K181" s="506"/>
    </row>
    <row r="182" spans="1:11">
      <c r="A182" s="219"/>
      <c r="B182" s="218"/>
      <c r="C182" s="218"/>
      <c r="D182" s="218"/>
      <c r="E182" s="218"/>
      <c r="F182" s="504"/>
      <c r="G182" s="504"/>
      <c r="H182" s="505"/>
      <c r="I182" s="505"/>
      <c r="J182" s="505"/>
      <c r="K182" s="506"/>
    </row>
    <row r="183" spans="1:11">
      <c r="A183" s="219"/>
      <c r="B183" s="218"/>
      <c r="C183" s="218"/>
      <c r="D183" s="218"/>
      <c r="E183" s="218"/>
      <c r="F183" s="504"/>
      <c r="G183" s="504"/>
      <c r="H183" s="505"/>
      <c r="I183" s="505"/>
      <c r="J183" s="505"/>
      <c r="K183" s="506"/>
    </row>
    <row r="184" spans="1:11">
      <c r="A184" s="219"/>
      <c r="B184" s="218"/>
      <c r="C184" s="218"/>
      <c r="D184" s="218"/>
      <c r="E184" s="218"/>
      <c r="F184" s="504"/>
      <c r="G184" s="504"/>
      <c r="H184" s="505"/>
      <c r="I184" s="505"/>
      <c r="J184" s="505"/>
      <c r="K184" s="506"/>
    </row>
    <row r="185" spans="1:11">
      <c r="A185" s="219"/>
      <c r="B185" s="218"/>
      <c r="C185" s="218"/>
      <c r="D185" s="218"/>
      <c r="E185" s="218"/>
      <c r="F185" s="504"/>
      <c r="G185" s="504"/>
      <c r="H185" s="505"/>
      <c r="I185" s="505"/>
      <c r="J185" s="505"/>
      <c r="K185" s="506"/>
    </row>
    <row r="186" spans="1:11">
      <c r="A186" s="219"/>
      <c r="B186" s="218"/>
      <c r="C186" s="218"/>
      <c r="D186" s="218"/>
      <c r="E186" s="218"/>
      <c r="F186" s="504"/>
      <c r="G186" s="504"/>
      <c r="H186" s="505"/>
      <c r="I186" s="505"/>
      <c r="J186" s="505"/>
      <c r="K186" s="506"/>
    </row>
    <row r="187" spans="1:11">
      <c r="A187" s="219"/>
      <c r="B187" s="218"/>
      <c r="C187" s="218"/>
      <c r="D187" s="218"/>
      <c r="E187" s="218"/>
      <c r="F187" s="504"/>
      <c r="G187" s="504"/>
      <c r="H187" s="505"/>
      <c r="I187" s="505"/>
      <c r="J187" s="505"/>
      <c r="K187" s="506"/>
    </row>
    <row r="188" spans="1:11">
      <c r="A188" s="219"/>
      <c r="B188" s="218"/>
      <c r="C188" s="218"/>
      <c r="D188" s="218"/>
      <c r="E188" s="218"/>
      <c r="F188" s="504"/>
      <c r="G188" s="504"/>
      <c r="H188" s="505"/>
      <c r="I188" s="505"/>
      <c r="J188" s="505"/>
      <c r="K188" s="506"/>
    </row>
    <row r="189" spans="1:11">
      <c r="A189" s="219"/>
      <c r="B189" s="218"/>
      <c r="C189" s="218"/>
      <c r="D189" s="218"/>
      <c r="E189" s="218"/>
      <c r="F189" s="504"/>
      <c r="G189" s="504"/>
      <c r="H189" s="505"/>
      <c r="I189" s="505"/>
      <c r="J189" s="505"/>
      <c r="K189" s="506"/>
    </row>
    <row r="190" spans="1:11">
      <c r="A190" s="219"/>
      <c r="B190" s="218"/>
      <c r="C190" s="218"/>
      <c r="D190" s="218"/>
      <c r="E190" s="218"/>
      <c r="F190" s="504"/>
      <c r="G190" s="504"/>
      <c r="H190" s="505"/>
      <c r="I190" s="505"/>
      <c r="J190" s="505"/>
      <c r="K190" s="506"/>
    </row>
    <row r="191" spans="1:11">
      <c r="A191" s="219"/>
      <c r="B191" s="218"/>
      <c r="C191" s="218"/>
      <c r="D191" s="218"/>
      <c r="E191" s="218"/>
      <c r="F191" s="504"/>
      <c r="G191" s="504"/>
      <c r="H191" s="505"/>
      <c r="I191" s="505"/>
      <c r="J191" s="505"/>
      <c r="K191" s="506"/>
    </row>
    <row r="192" spans="1:11">
      <c r="A192" s="219"/>
      <c r="B192" s="218"/>
      <c r="C192" s="218"/>
      <c r="D192" s="218"/>
      <c r="E192" s="218"/>
      <c r="F192" s="504"/>
      <c r="G192" s="504"/>
      <c r="H192" s="505"/>
      <c r="I192" s="505"/>
      <c r="J192" s="505"/>
      <c r="K192" s="506"/>
    </row>
    <row r="193" spans="1:11">
      <c r="A193" s="219"/>
      <c r="B193" s="218"/>
      <c r="C193" s="218"/>
      <c r="D193" s="218"/>
      <c r="E193" s="218"/>
      <c r="F193" s="504"/>
      <c r="G193" s="504"/>
      <c r="H193" s="505"/>
      <c r="I193" s="505"/>
      <c r="J193" s="505"/>
      <c r="K193" s="506"/>
    </row>
    <row r="194" spans="1:11">
      <c r="A194" s="219"/>
      <c r="B194" s="218"/>
      <c r="C194" s="218"/>
      <c r="D194" s="218"/>
      <c r="E194" s="218"/>
      <c r="F194" s="504"/>
      <c r="G194" s="504"/>
      <c r="H194" s="505"/>
      <c r="I194" s="505"/>
      <c r="J194" s="505"/>
      <c r="K194" s="506"/>
    </row>
    <row r="195" spans="1:11">
      <c r="A195" s="219"/>
      <c r="B195" s="218"/>
      <c r="C195" s="218"/>
      <c r="D195" s="218"/>
      <c r="E195" s="218"/>
      <c r="F195" s="504"/>
      <c r="G195" s="504"/>
      <c r="H195" s="505"/>
      <c r="I195" s="505"/>
      <c r="J195" s="505"/>
      <c r="K195" s="506"/>
    </row>
    <row r="196" spans="1:11">
      <c r="A196" s="219"/>
      <c r="B196" s="218"/>
      <c r="C196" s="218"/>
      <c r="D196" s="218"/>
      <c r="E196" s="218"/>
      <c r="F196" s="504"/>
      <c r="G196" s="504"/>
      <c r="H196" s="505"/>
      <c r="I196" s="505"/>
      <c r="J196" s="505"/>
      <c r="K196" s="506"/>
    </row>
    <row r="197" spans="1:11">
      <c r="A197" s="219"/>
      <c r="B197" s="218"/>
      <c r="C197" s="218"/>
      <c r="D197" s="218"/>
      <c r="E197" s="218"/>
      <c r="F197" s="504"/>
      <c r="G197" s="504"/>
      <c r="H197" s="505"/>
      <c r="I197" s="505"/>
      <c r="J197" s="505"/>
      <c r="K197" s="506"/>
    </row>
    <row r="198" spans="1:11">
      <c r="A198" s="219"/>
      <c r="B198" s="218"/>
      <c r="C198" s="218"/>
      <c r="D198" s="218"/>
      <c r="E198" s="218"/>
      <c r="F198" s="504"/>
      <c r="G198" s="504"/>
      <c r="H198" s="505"/>
      <c r="I198" s="505"/>
      <c r="J198" s="505"/>
      <c r="K198" s="506"/>
    </row>
    <row r="199" spans="1:11">
      <c r="A199" s="219"/>
      <c r="B199" s="218"/>
      <c r="C199" s="218"/>
      <c r="D199" s="218"/>
      <c r="E199" s="218"/>
      <c r="F199" s="504"/>
      <c r="G199" s="504"/>
      <c r="H199" s="505"/>
      <c r="I199" s="505"/>
      <c r="J199" s="505"/>
      <c r="K199" s="506"/>
    </row>
    <row r="200" spans="1:11">
      <c r="A200" s="219"/>
      <c r="B200" s="218"/>
      <c r="C200" s="218"/>
      <c r="D200" s="218"/>
      <c r="E200" s="218"/>
      <c r="F200" s="504"/>
      <c r="G200" s="504"/>
      <c r="H200" s="505"/>
      <c r="I200" s="505"/>
      <c r="J200" s="505"/>
      <c r="K200" s="506"/>
    </row>
    <row r="201" spans="1:11">
      <c r="A201" s="219"/>
      <c r="B201" s="218"/>
      <c r="C201" s="218"/>
      <c r="D201" s="218"/>
      <c r="E201" s="218"/>
      <c r="F201" s="504"/>
      <c r="G201" s="504"/>
      <c r="H201" s="505"/>
      <c r="I201" s="505"/>
      <c r="J201" s="505"/>
      <c r="K201" s="506"/>
    </row>
    <row r="202" spans="1:11">
      <c r="A202" s="219"/>
      <c r="B202" s="218"/>
      <c r="C202" s="218"/>
      <c r="D202" s="218"/>
      <c r="E202" s="218"/>
      <c r="F202" s="504"/>
      <c r="G202" s="504"/>
      <c r="H202" s="505"/>
      <c r="I202" s="505"/>
      <c r="J202" s="505"/>
      <c r="K202" s="506"/>
    </row>
    <row r="203" spans="1:11">
      <c r="A203" s="219"/>
      <c r="B203" s="218"/>
      <c r="C203" s="218"/>
      <c r="D203" s="218"/>
      <c r="E203" s="218"/>
      <c r="F203" s="504"/>
      <c r="G203" s="504"/>
      <c r="H203" s="505"/>
      <c r="I203" s="505"/>
      <c r="J203" s="505"/>
      <c r="K203" s="506"/>
    </row>
    <row r="204" spans="1:11">
      <c r="A204" s="219"/>
      <c r="B204" s="218"/>
      <c r="C204" s="218"/>
      <c r="D204" s="218"/>
      <c r="E204" s="218"/>
      <c r="F204" s="504"/>
      <c r="G204" s="504"/>
      <c r="H204" s="505"/>
      <c r="I204" s="505"/>
      <c r="J204" s="505"/>
      <c r="K204" s="506"/>
    </row>
    <row r="205" spans="1:11">
      <c r="A205" s="219"/>
      <c r="B205" s="218"/>
      <c r="C205" s="218"/>
      <c r="D205" s="218"/>
      <c r="E205" s="218"/>
      <c r="F205" s="504"/>
      <c r="G205" s="504"/>
      <c r="H205" s="505"/>
      <c r="I205" s="505"/>
      <c r="J205" s="505"/>
      <c r="K205" s="506"/>
    </row>
    <row r="206" spans="1:11">
      <c r="A206" s="219"/>
      <c r="B206" s="218"/>
      <c r="C206" s="218"/>
      <c r="D206" s="218"/>
      <c r="E206" s="218"/>
      <c r="F206" s="504"/>
      <c r="G206" s="504"/>
      <c r="H206" s="505"/>
      <c r="I206" s="505"/>
      <c r="J206" s="505"/>
      <c r="K206" s="506"/>
    </row>
    <row r="207" spans="1:11">
      <c r="A207" s="219"/>
      <c r="B207" s="218"/>
      <c r="C207" s="218"/>
      <c r="D207" s="218"/>
      <c r="E207" s="218"/>
      <c r="F207" s="504"/>
      <c r="G207" s="504"/>
      <c r="H207" s="505"/>
      <c r="I207" s="505"/>
      <c r="J207" s="505"/>
      <c r="K207" s="506"/>
    </row>
    <row r="208" spans="1:11">
      <c r="A208" s="219"/>
      <c r="B208" s="218"/>
      <c r="C208" s="218"/>
      <c r="D208" s="218"/>
      <c r="E208" s="218"/>
      <c r="F208" s="504"/>
      <c r="G208" s="504"/>
      <c r="H208" s="505"/>
      <c r="I208" s="505"/>
      <c r="J208" s="505"/>
      <c r="K208" s="506"/>
    </row>
    <row r="209" spans="1:11">
      <c r="A209" s="219"/>
      <c r="B209" s="218"/>
      <c r="C209" s="218"/>
      <c r="D209" s="218"/>
      <c r="E209" s="218"/>
      <c r="F209" s="504"/>
      <c r="G209" s="504"/>
      <c r="H209" s="505"/>
      <c r="I209" s="505"/>
      <c r="J209" s="505"/>
      <c r="K209" s="506"/>
    </row>
    <row r="210" spans="1:11">
      <c r="A210" s="219"/>
      <c r="B210" s="218"/>
      <c r="C210" s="218"/>
      <c r="D210" s="218"/>
      <c r="E210" s="218"/>
      <c r="F210" s="504"/>
      <c r="G210" s="504"/>
      <c r="H210" s="505"/>
      <c r="I210" s="505"/>
      <c r="J210" s="505"/>
      <c r="K210" s="506"/>
    </row>
    <row r="211" spans="1:11">
      <c r="A211" s="219"/>
      <c r="B211" s="218"/>
      <c r="C211" s="218"/>
      <c r="D211" s="218"/>
      <c r="E211" s="218"/>
      <c r="F211" s="504"/>
      <c r="G211" s="504"/>
      <c r="H211" s="505"/>
      <c r="I211" s="505"/>
      <c r="J211" s="505"/>
      <c r="K211" s="506"/>
    </row>
    <row r="212" spans="1:11">
      <c r="A212" s="219"/>
      <c r="B212" s="218"/>
      <c r="C212" s="218"/>
      <c r="D212" s="218"/>
      <c r="E212" s="218"/>
      <c r="F212" s="504"/>
      <c r="G212" s="504"/>
      <c r="H212" s="505"/>
      <c r="I212" s="505"/>
      <c r="J212" s="505"/>
      <c r="K212" s="506"/>
    </row>
    <row r="213" spans="1:11">
      <c r="A213" s="219"/>
      <c r="B213" s="218"/>
      <c r="C213" s="218"/>
      <c r="D213" s="218"/>
      <c r="E213" s="218"/>
      <c r="F213" s="504"/>
      <c r="G213" s="504"/>
      <c r="H213" s="505"/>
      <c r="I213" s="505"/>
      <c r="J213" s="505"/>
      <c r="K213" s="506"/>
    </row>
    <row r="214" spans="1:11">
      <c r="A214" s="219"/>
      <c r="B214" s="218"/>
      <c r="C214" s="218"/>
      <c r="D214" s="218"/>
      <c r="E214" s="218"/>
      <c r="F214" s="504"/>
      <c r="G214" s="504"/>
      <c r="H214" s="505"/>
      <c r="I214" s="505"/>
      <c r="J214" s="505"/>
      <c r="K214" s="506"/>
    </row>
    <row r="215" spans="1:11">
      <c r="A215" s="219"/>
      <c r="B215" s="218"/>
      <c r="C215" s="218"/>
      <c r="D215" s="218"/>
      <c r="E215" s="218"/>
      <c r="F215" s="504"/>
      <c r="G215" s="504"/>
      <c r="H215" s="505"/>
      <c r="I215" s="505"/>
      <c r="J215" s="505"/>
      <c r="K215" s="506"/>
    </row>
    <row r="216" spans="1:11">
      <c r="A216" s="219"/>
      <c r="B216" s="218"/>
      <c r="C216" s="218"/>
      <c r="D216" s="218"/>
      <c r="E216" s="218"/>
      <c r="F216" s="504"/>
      <c r="G216" s="504"/>
      <c r="H216" s="505"/>
      <c r="I216" s="505"/>
      <c r="J216" s="505"/>
      <c r="K216" s="506"/>
    </row>
    <row r="217" spans="1:11">
      <c r="A217" s="219"/>
      <c r="B217" s="218"/>
      <c r="C217" s="218"/>
      <c r="D217" s="218"/>
      <c r="E217" s="218"/>
      <c r="F217" s="504"/>
      <c r="G217" s="504"/>
      <c r="H217" s="505"/>
      <c r="I217" s="505"/>
      <c r="J217" s="505"/>
      <c r="K217" s="506"/>
    </row>
    <row r="218" spans="1:11">
      <c r="A218" s="219"/>
      <c r="B218" s="218"/>
      <c r="C218" s="218"/>
      <c r="D218" s="218"/>
      <c r="E218" s="218"/>
      <c r="F218" s="504"/>
      <c r="G218" s="504"/>
      <c r="H218" s="505"/>
      <c r="I218" s="505"/>
      <c r="J218" s="505"/>
      <c r="K218" s="506"/>
    </row>
    <row r="219" spans="1:11">
      <c r="A219" s="219"/>
      <c r="B219" s="218"/>
      <c r="C219" s="218"/>
      <c r="D219" s="218"/>
      <c r="E219" s="218"/>
      <c r="F219" s="504"/>
      <c r="G219" s="504"/>
      <c r="H219" s="505"/>
      <c r="I219" s="505"/>
      <c r="J219" s="505"/>
      <c r="K219" s="506"/>
    </row>
    <row r="220" spans="1:11">
      <c r="A220" s="219"/>
      <c r="B220" s="218"/>
      <c r="C220" s="218"/>
      <c r="D220" s="218"/>
      <c r="E220" s="218"/>
      <c r="F220" s="504"/>
      <c r="G220" s="504"/>
      <c r="H220" s="505"/>
      <c r="I220" s="505"/>
      <c r="J220" s="505"/>
      <c r="K220" s="506"/>
    </row>
    <row r="221" spans="1:11">
      <c r="A221" s="219"/>
      <c r="B221" s="218"/>
      <c r="C221" s="218"/>
      <c r="D221" s="218"/>
      <c r="E221" s="218"/>
      <c r="F221" s="504"/>
      <c r="G221" s="504"/>
      <c r="H221" s="505"/>
      <c r="I221" s="505"/>
      <c r="J221" s="505"/>
      <c r="K221" s="506"/>
    </row>
    <row r="222" spans="1:11">
      <c r="A222" s="219"/>
      <c r="B222" s="218"/>
      <c r="C222" s="218"/>
      <c r="D222" s="218"/>
      <c r="E222" s="218"/>
      <c r="F222" s="504"/>
      <c r="G222" s="504"/>
      <c r="H222" s="505"/>
      <c r="I222" s="505"/>
      <c r="J222" s="505"/>
      <c r="K222" s="506"/>
    </row>
    <row r="223" spans="1:11">
      <c r="A223" s="219"/>
      <c r="B223" s="218"/>
      <c r="C223" s="218"/>
      <c r="D223" s="218"/>
      <c r="E223" s="218"/>
      <c r="F223" s="504"/>
      <c r="G223" s="504"/>
      <c r="H223" s="505"/>
      <c r="I223" s="505"/>
      <c r="J223" s="505"/>
      <c r="K223" s="506"/>
    </row>
    <row r="224" spans="1:11">
      <c r="A224" s="219"/>
      <c r="B224" s="218"/>
      <c r="C224" s="218"/>
      <c r="D224" s="218"/>
      <c r="E224" s="218"/>
      <c r="F224" s="504"/>
      <c r="G224" s="504"/>
      <c r="H224" s="505"/>
      <c r="I224" s="505"/>
      <c r="J224" s="505"/>
      <c r="K224" s="506"/>
    </row>
    <row r="225" spans="1:11">
      <c r="A225" s="219"/>
      <c r="B225" s="218"/>
      <c r="C225" s="218"/>
      <c r="D225" s="218"/>
      <c r="E225" s="218"/>
      <c r="F225" s="504"/>
      <c r="G225" s="504"/>
      <c r="H225" s="505"/>
      <c r="I225" s="505"/>
      <c r="J225" s="505"/>
      <c r="K225" s="506"/>
    </row>
    <row r="226" spans="1:11">
      <c r="A226" s="219"/>
      <c r="B226" s="218"/>
      <c r="C226" s="218"/>
      <c r="D226" s="218"/>
      <c r="E226" s="218"/>
      <c r="F226" s="504"/>
      <c r="G226" s="504"/>
      <c r="H226" s="505"/>
      <c r="I226" s="505"/>
      <c r="J226" s="505"/>
      <c r="K226" s="506"/>
    </row>
    <row r="227" spans="1:11">
      <c r="A227" s="219"/>
      <c r="B227" s="218"/>
      <c r="C227" s="218"/>
      <c r="D227" s="218"/>
      <c r="E227" s="218"/>
      <c r="F227" s="504"/>
      <c r="G227" s="504"/>
      <c r="H227" s="505"/>
      <c r="I227" s="505"/>
      <c r="J227" s="505"/>
      <c r="K227" s="506"/>
    </row>
    <row r="228" spans="1:11">
      <c r="A228" s="219"/>
      <c r="B228" s="218"/>
      <c r="C228" s="218"/>
      <c r="D228" s="218"/>
      <c r="E228" s="218"/>
      <c r="F228" s="504"/>
      <c r="G228" s="504"/>
      <c r="H228" s="505"/>
      <c r="I228" s="505"/>
      <c r="J228" s="505"/>
      <c r="K228" s="506"/>
    </row>
    <row r="229" spans="1:11">
      <c r="A229" s="219"/>
      <c r="B229" s="218"/>
      <c r="C229" s="218"/>
      <c r="D229" s="218"/>
      <c r="E229" s="218"/>
      <c r="F229" s="504"/>
      <c r="G229" s="504"/>
      <c r="H229" s="505"/>
      <c r="I229" s="505"/>
      <c r="J229" s="505"/>
      <c r="K229" s="506"/>
    </row>
    <row r="230" spans="1:11">
      <c r="A230" s="219"/>
      <c r="B230" s="218"/>
      <c r="C230" s="218"/>
      <c r="D230" s="218"/>
      <c r="E230" s="218"/>
      <c r="F230" s="504"/>
      <c r="G230" s="504"/>
      <c r="H230" s="505"/>
      <c r="I230" s="505"/>
      <c r="J230" s="505"/>
      <c r="K230" s="506"/>
    </row>
    <row r="231" spans="1:11">
      <c r="A231" s="219"/>
      <c r="B231" s="218"/>
      <c r="C231" s="218"/>
      <c r="D231" s="218"/>
      <c r="E231" s="218"/>
      <c r="F231" s="504"/>
      <c r="G231" s="504"/>
      <c r="H231" s="505"/>
      <c r="I231" s="505"/>
      <c r="J231" s="505"/>
      <c r="K231" s="506"/>
    </row>
    <row r="232" spans="1:11">
      <c r="A232" s="219"/>
      <c r="B232" s="218"/>
      <c r="C232" s="218"/>
      <c r="D232" s="218"/>
      <c r="E232" s="218"/>
      <c r="F232" s="504"/>
      <c r="G232" s="504"/>
      <c r="H232" s="505"/>
      <c r="I232" s="505"/>
      <c r="J232" s="505"/>
      <c r="K232" s="506"/>
    </row>
    <row r="233" spans="1:11">
      <c r="A233" s="219"/>
      <c r="B233" s="218"/>
      <c r="C233" s="218"/>
      <c r="D233" s="218"/>
      <c r="E233" s="218"/>
      <c r="F233" s="504"/>
      <c r="G233" s="504"/>
      <c r="H233" s="505"/>
      <c r="I233" s="505"/>
      <c r="J233" s="505"/>
      <c r="K233" s="506"/>
    </row>
    <row r="234" spans="1:11">
      <c r="A234" s="219"/>
      <c r="B234" s="218"/>
      <c r="C234" s="218"/>
      <c r="D234" s="218"/>
      <c r="E234" s="218"/>
      <c r="F234" s="504"/>
      <c r="G234" s="504"/>
      <c r="H234" s="505"/>
      <c r="I234" s="505"/>
      <c r="J234" s="505"/>
      <c r="K234" s="506"/>
    </row>
    <row r="235" spans="1:11">
      <c r="A235" s="219"/>
      <c r="B235" s="218"/>
      <c r="C235" s="218"/>
      <c r="D235" s="218"/>
      <c r="E235" s="218"/>
      <c r="F235" s="504"/>
      <c r="G235" s="504"/>
      <c r="H235" s="505"/>
      <c r="I235" s="505"/>
      <c r="J235" s="505"/>
      <c r="K235" s="506"/>
    </row>
    <row r="236" spans="1:11">
      <c r="A236" s="219"/>
      <c r="B236" s="218"/>
      <c r="C236" s="218"/>
      <c r="D236" s="218"/>
      <c r="E236" s="218"/>
      <c r="F236" s="504"/>
      <c r="G236" s="504"/>
      <c r="H236" s="505"/>
      <c r="I236" s="505"/>
      <c r="J236" s="505"/>
      <c r="K236" s="506"/>
    </row>
    <row r="237" spans="1:11">
      <c r="A237" s="219"/>
      <c r="B237" s="218"/>
      <c r="C237" s="218"/>
      <c r="D237" s="218"/>
      <c r="E237" s="218"/>
      <c r="F237" s="504"/>
      <c r="G237" s="504"/>
      <c r="H237" s="505"/>
      <c r="I237" s="505"/>
      <c r="J237" s="505"/>
      <c r="K237" s="506"/>
    </row>
    <row r="238" spans="1:11">
      <c r="A238" s="219"/>
      <c r="B238" s="218"/>
      <c r="C238" s="218"/>
      <c r="D238" s="218"/>
      <c r="E238" s="218"/>
      <c r="F238" s="504"/>
      <c r="G238" s="504"/>
      <c r="H238" s="505"/>
      <c r="I238" s="505"/>
      <c r="J238" s="505"/>
      <c r="K238" s="506"/>
    </row>
    <row r="239" spans="1:11">
      <c r="A239" s="219"/>
      <c r="B239" s="218"/>
      <c r="C239" s="218"/>
      <c r="D239" s="218"/>
      <c r="E239" s="218"/>
      <c r="F239" s="504"/>
      <c r="G239" s="504"/>
      <c r="H239" s="505"/>
      <c r="I239" s="505"/>
      <c r="J239" s="505"/>
      <c r="K239" s="506"/>
    </row>
    <row r="240" spans="1:11">
      <c r="A240" s="219"/>
      <c r="B240" s="218"/>
      <c r="C240" s="218"/>
      <c r="D240" s="218"/>
      <c r="E240" s="218"/>
      <c r="F240" s="504"/>
      <c r="G240" s="504"/>
      <c r="H240" s="505"/>
      <c r="I240" s="505"/>
      <c r="J240" s="505"/>
      <c r="K240" s="506"/>
    </row>
    <row r="241" spans="1:11">
      <c r="A241" s="219"/>
      <c r="B241" s="218"/>
      <c r="C241" s="218"/>
      <c r="D241" s="218"/>
      <c r="E241" s="218"/>
      <c r="F241" s="504"/>
      <c r="G241" s="504"/>
      <c r="H241" s="505"/>
      <c r="I241" s="505"/>
      <c r="J241" s="505"/>
      <c r="K241" s="506"/>
    </row>
    <row r="242" spans="1:11">
      <c r="A242" s="219"/>
      <c r="B242" s="218"/>
      <c r="C242" s="218"/>
      <c r="D242" s="218"/>
      <c r="E242" s="218"/>
      <c r="F242" s="504"/>
      <c r="G242" s="504"/>
      <c r="H242" s="505"/>
      <c r="I242" s="505"/>
      <c r="J242" s="505"/>
      <c r="K242" s="506"/>
    </row>
    <row r="243" spans="1:11">
      <c r="A243" s="219"/>
      <c r="B243" s="218"/>
      <c r="C243" s="218"/>
      <c r="D243" s="218"/>
      <c r="E243" s="218"/>
      <c r="F243" s="504"/>
      <c r="G243" s="504"/>
      <c r="H243" s="505"/>
      <c r="I243" s="505"/>
      <c r="J243" s="505"/>
      <c r="K243" s="506"/>
    </row>
    <row r="244" spans="1:11">
      <c r="A244" s="219"/>
      <c r="B244" s="218"/>
      <c r="C244" s="218"/>
      <c r="D244" s="218"/>
      <c r="E244" s="218"/>
      <c r="F244" s="504"/>
      <c r="G244" s="504"/>
      <c r="H244" s="505"/>
      <c r="I244" s="505"/>
      <c r="J244" s="505"/>
      <c r="K244" s="506"/>
    </row>
    <row r="245" spans="1:11">
      <c r="A245" s="219"/>
      <c r="B245" s="218"/>
      <c r="C245" s="218"/>
      <c r="D245" s="218"/>
      <c r="E245" s="218"/>
      <c r="F245" s="504"/>
      <c r="G245" s="504"/>
      <c r="H245" s="505"/>
      <c r="I245" s="505"/>
      <c r="J245" s="505"/>
      <c r="K245" s="506"/>
    </row>
    <row r="246" spans="1:11">
      <c r="A246" s="219"/>
      <c r="B246" s="218"/>
      <c r="C246" s="218"/>
      <c r="D246" s="218"/>
      <c r="E246" s="218"/>
      <c r="F246" s="504"/>
      <c r="G246" s="504"/>
      <c r="H246" s="505"/>
      <c r="I246" s="505"/>
      <c r="J246" s="505"/>
      <c r="K246" s="506"/>
    </row>
    <row r="247" spans="1:11">
      <c r="A247" s="219"/>
      <c r="B247" s="218"/>
      <c r="C247" s="218"/>
      <c r="D247" s="218"/>
      <c r="E247" s="218"/>
      <c r="F247" s="504"/>
      <c r="G247" s="504"/>
      <c r="H247" s="505"/>
      <c r="I247" s="505"/>
      <c r="J247" s="505"/>
      <c r="K247" s="506"/>
    </row>
    <row r="248" spans="1:11">
      <c r="A248" s="219"/>
      <c r="B248" s="218"/>
      <c r="C248" s="218"/>
      <c r="D248" s="218"/>
      <c r="E248" s="218"/>
      <c r="F248" s="504"/>
      <c r="G248" s="504"/>
      <c r="H248" s="505"/>
      <c r="I248" s="505"/>
      <c r="J248" s="505"/>
      <c r="K248" s="506"/>
    </row>
    <row r="249" spans="1:11">
      <c r="A249" s="219"/>
      <c r="B249" s="218"/>
      <c r="C249" s="218"/>
      <c r="D249" s="218"/>
      <c r="E249" s="218"/>
      <c r="F249" s="504"/>
      <c r="G249" s="504"/>
      <c r="H249" s="505"/>
      <c r="I249" s="505"/>
      <c r="J249" s="505"/>
      <c r="K249" s="506"/>
    </row>
    <row r="250" spans="1:11">
      <c r="A250" s="219"/>
      <c r="B250" s="218"/>
      <c r="C250" s="218"/>
      <c r="D250" s="218"/>
      <c r="E250" s="218"/>
      <c r="F250" s="504"/>
      <c r="G250" s="504"/>
      <c r="H250" s="505"/>
      <c r="I250" s="505"/>
      <c r="J250" s="505"/>
      <c r="K250" s="506"/>
    </row>
    <row r="251" spans="1:11">
      <c r="A251" s="219"/>
      <c r="B251" s="218"/>
      <c r="C251" s="218"/>
      <c r="D251" s="218"/>
      <c r="E251" s="218"/>
      <c r="F251" s="504"/>
      <c r="G251" s="504"/>
      <c r="H251" s="505"/>
      <c r="I251" s="505"/>
      <c r="J251" s="505"/>
      <c r="K251" s="506"/>
    </row>
    <row r="252" spans="1:11">
      <c r="A252" s="219"/>
      <c r="B252" s="218"/>
      <c r="C252" s="218"/>
      <c r="D252" s="218"/>
      <c r="E252" s="218"/>
      <c r="F252" s="504"/>
      <c r="G252" s="504"/>
      <c r="H252" s="505"/>
      <c r="I252" s="505"/>
      <c r="J252" s="505"/>
      <c r="K252" s="506"/>
    </row>
    <row r="253" spans="1:11">
      <c r="A253" s="219"/>
      <c r="B253" s="218"/>
      <c r="C253" s="218"/>
      <c r="D253" s="218"/>
      <c r="E253" s="218"/>
      <c r="F253" s="504"/>
      <c r="G253" s="504"/>
      <c r="H253" s="505"/>
      <c r="I253" s="505"/>
      <c r="J253" s="505"/>
      <c r="K253" s="506"/>
    </row>
    <row r="254" spans="1:11">
      <c r="A254" s="219"/>
      <c r="B254" s="218"/>
      <c r="C254" s="218"/>
      <c r="D254" s="218"/>
      <c r="E254" s="218"/>
      <c r="F254" s="504"/>
      <c r="G254" s="504"/>
      <c r="H254" s="505"/>
      <c r="I254" s="505"/>
      <c r="J254" s="505"/>
      <c r="K254" s="506"/>
    </row>
    <row r="255" spans="1:11">
      <c r="A255" s="219"/>
      <c r="B255" s="218"/>
      <c r="C255" s="218"/>
      <c r="D255" s="218"/>
      <c r="E255" s="218"/>
      <c r="F255" s="504"/>
      <c r="G255" s="504"/>
      <c r="H255" s="505"/>
      <c r="I255" s="505"/>
      <c r="J255" s="505"/>
      <c r="K255" s="506"/>
    </row>
    <row r="256" spans="1:11">
      <c r="A256" s="219"/>
      <c r="B256" s="218"/>
      <c r="C256" s="218"/>
      <c r="D256" s="218"/>
      <c r="E256" s="218"/>
      <c r="F256" s="504"/>
      <c r="G256" s="504"/>
      <c r="H256" s="505"/>
      <c r="I256" s="505"/>
      <c r="J256" s="505"/>
      <c r="K256" s="506"/>
    </row>
    <row r="257" spans="1:11">
      <c r="A257" s="219"/>
      <c r="B257" s="218"/>
      <c r="C257" s="218"/>
      <c r="D257" s="218"/>
      <c r="E257" s="218"/>
      <c r="F257" s="504"/>
      <c r="G257" s="504"/>
      <c r="H257" s="505"/>
      <c r="I257" s="505"/>
      <c r="J257" s="505"/>
      <c r="K257" s="506"/>
    </row>
    <row r="258" spans="1:11">
      <c r="A258" s="219"/>
      <c r="B258" s="218"/>
      <c r="C258" s="218"/>
      <c r="D258" s="218"/>
      <c r="E258" s="218"/>
      <c r="F258" s="504"/>
      <c r="G258" s="504"/>
      <c r="H258" s="505"/>
      <c r="I258" s="505"/>
      <c r="J258" s="505"/>
      <c r="K258" s="506"/>
    </row>
    <row r="259" spans="1:11">
      <c r="A259" s="219"/>
      <c r="B259" s="218"/>
      <c r="C259" s="218"/>
      <c r="D259" s="218"/>
      <c r="E259" s="218"/>
      <c r="F259" s="504"/>
      <c r="G259" s="504"/>
      <c r="H259" s="505"/>
      <c r="I259" s="505"/>
      <c r="J259" s="505"/>
      <c r="K259" s="506"/>
    </row>
    <row r="260" spans="1:11">
      <c r="A260" s="219"/>
      <c r="B260" s="218"/>
      <c r="C260" s="218"/>
      <c r="D260" s="218"/>
      <c r="E260" s="218"/>
      <c r="F260" s="504"/>
      <c r="G260" s="504"/>
      <c r="H260" s="505"/>
      <c r="I260" s="505"/>
      <c r="J260" s="505"/>
      <c r="K260" s="506"/>
    </row>
    <row r="261" spans="1:11">
      <c r="A261" s="219"/>
      <c r="B261" s="218"/>
      <c r="C261" s="218"/>
      <c r="D261" s="218"/>
      <c r="E261" s="218"/>
      <c r="F261" s="504"/>
      <c r="G261" s="504"/>
      <c r="H261" s="505"/>
      <c r="I261" s="505"/>
      <c r="J261" s="505"/>
      <c r="K261" s="506"/>
    </row>
    <row r="262" spans="1:11">
      <c r="A262" s="219"/>
      <c r="B262" s="218"/>
      <c r="C262" s="218"/>
      <c r="D262" s="218"/>
      <c r="E262" s="218"/>
      <c r="F262" s="504"/>
      <c r="G262" s="504"/>
      <c r="H262" s="505"/>
      <c r="I262" s="505"/>
      <c r="J262" s="505"/>
      <c r="K262" s="506"/>
    </row>
    <row r="263" spans="1:11">
      <c r="A263" s="219"/>
      <c r="B263" s="218"/>
      <c r="C263" s="218"/>
      <c r="D263" s="218"/>
      <c r="E263" s="218"/>
      <c r="F263" s="504"/>
      <c r="G263" s="504"/>
      <c r="H263" s="505"/>
      <c r="I263" s="505"/>
      <c r="J263" s="505"/>
      <c r="K263" s="506"/>
    </row>
    <row r="264" spans="1:11">
      <c r="A264" s="219"/>
      <c r="B264" s="218"/>
      <c r="C264" s="218"/>
      <c r="D264" s="218"/>
      <c r="E264" s="218"/>
      <c r="F264" s="504"/>
      <c r="G264" s="504"/>
      <c r="H264" s="505"/>
      <c r="I264" s="505"/>
      <c r="J264" s="505"/>
      <c r="K264" s="506"/>
    </row>
    <row r="265" spans="1:11">
      <c r="A265" s="219"/>
      <c r="B265" s="218"/>
      <c r="C265" s="218"/>
      <c r="D265" s="218"/>
      <c r="E265" s="218"/>
      <c r="F265" s="504"/>
      <c r="G265" s="504"/>
      <c r="H265" s="505"/>
      <c r="I265" s="505"/>
      <c r="J265" s="505"/>
      <c r="K265" s="506"/>
    </row>
    <row r="266" spans="1:11">
      <c r="A266" s="219"/>
      <c r="B266" s="218"/>
      <c r="C266" s="218"/>
      <c r="D266" s="218"/>
      <c r="E266" s="218"/>
      <c r="F266" s="504"/>
      <c r="G266" s="504"/>
      <c r="H266" s="505"/>
      <c r="I266" s="505"/>
      <c r="J266" s="505"/>
      <c r="K266" s="506"/>
    </row>
    <row r="267" spans="1:11">
      <c r="A267" s="219"/>
      <c r="B267" s="218"/>
      <c r="C267" s="218"/>
      <c r="D267" s="218"/>
      <c r="E267" s="218"/>
      <c r="F267" s="504"/>
      <c r="G267" s="504"/>
      <c r="H267" s="505"/>
      <c r="I267" s="505"/>
      <c r="J267" s="505"/>
      <c r="K267" s="506"/>
    </row>
    <row r="268" spans="1:11">
      <c r="A268" s="219"/>
      <c r="B268" s="218"/>
      <c r="C268" s="218"/>
      <c r="D268" s="218"/>
      <c r="E268" s="218"/>
      <c r="F268" s="504"/>
      <c r="G268" s="504"/>
      <c r="H268" s="505"/>
      <c r="I268" s="505"/>
      <c r="J268" s="505"/>
      <c r="K268" s="506"/>
    </row>
    <row r="269" spans="1:11">
      <c r="A269" s="219"/>
      <c r="B269" s="218"/>
      <c r="C269" s="218"/>
      <c r="D269" s="218"/>
      <c r="E269" s="218"/>
      <c r="F269" s="504"/>
      <c r="G269" s="504"/>
      <c r="H269" s="505"/>
      <c r="I269" s="505"/>
      <c r="J269" s="505"/>
      <c r="K269" s="506"/>
    </row>
    <row r="270" spans="1:11">
      <c r="A270" s="219"/>
      <c r="B270" s="218"/>
      <c r="C270" s="218"/>
      <c r="D270" s="218"/>
      <c r="E270" s="218"/>
      <c r="F270" s="504"/>
      <c r="G270" s="504"/>
      <c r="H270" s="505"/>
      <c r="I270" s="505"/>
      <c r="J270" s="505"/>
      <c r="K270" s="506"/>
    </row>
    <row r="271" spans="1:11">
      <c r="A271" s="219"/>
      <c r="B271" s="218"/>
      <c r="C271" s="218"/>
      <c r="D271" s="218"/>
      <c r="E271" s="218"/>
      <c r="F271" s="504"/>
      <c r="G271" s="504"/>
      <c r="H271" s="505"/>
      <c r="I271" s="505"/>
      <c r="J271" s="505"/>
      <c r="K271" s="506"/>
    </row>
    <row r="272" spans="1:11">
      <c r="A272" s="219"/>
      <c r="B272" s="218"/>
      <c r="C272" s="218"/>
      <c r="D272" s="218"/>
      <c r="E272" s="218"/>
      <c r="F272" s="504"/>
      <c r="G272" s="504"/>
      <c r="H272" s="505"/>
      <c r="I272" s="505"/>
      <c r="J272" s="505"/>
      <c r="K272" s="506"/>
    </row>
    <row r="273" spans="1:11">
      <c r="A273" s="219"/>
      <c r="B273" s="218"/>
      <c r="C273" s="218"/>
      <c r="D273" s="218"/>
      <c r="E273" s="218"/>
      <c r="F273" s="504"/>
      <c r="G273" s="504"/>
      <c r="H273" s="505"/>
      <c r="I273" s="505"/>
      <c r="J273" s="505"/>
      <c r="K273" s="506"/>
    </row>
    <row r="274" spans="1:11">
      <c r="A274" s="219"/>
      <c r="B274" s="218"/>
      <c r="C274" s="218"/>
      <c r="D274" s="218"/>
      <c r="E274" s="218"/>
      <c r="F274" s="504"/>
      <c r="G274" s="504"/>
      <c r="H274" s="505"/>
      <c r="I274" s="505"/>
      <c r="J274" s="505"/>
      <c r="K274" s="506"/>
    </row>
    <row r="275" spans="1:11">
      <c r="A275" s="219"/>
      <c r="B275" s="218"/>
      <c r="C275" s="218"/>
      <c r="D275" s="218"/>
      <c r="E275" s="218"/>
      <c r="F275" s="504"/>
      <c r="G275" s="504"/>
      <c r="H275" s="505"/>
      <c r="I275" s="505"/>
      <c r="J275" s="505"/>
      <c r="K275" s="506"/>
    </row>
    <row r="276" spans="1:11">
      <c r="A276" s="219"/>
      <c r="B276" s="218"/>
      <c r="C276" s="218"/>
      <c r="D276" s="218"/>
      <c r="E276" s="218"/>
      <c r="F276" s="504"/>
      <c r="G276" s="504"/>
      <c r="H276" s="505"/>
      <c r="I276" s="505"/>
      <c r="J276" s="505"/>
      <c r="K276" s="506"/>
    </row>
    <row r="277" spans="1:11">
      <c r="A277" s="219"/>
      <c r="B277" s="218"/>
      <c r="C277" s="218"/>
      <c r="D277" s="218"/>
      <c r="E277" s="218"/>
      <c r="F277" s="504"/>
      <c r="G277" s="504"/>
      <c r="H277" s="505"/>
      <c r="I277" s="505"/>
      <c r="J277" s="505"/>
      <c r="K277" s="506"/>
    </row>
    <row r="278" spans="1:11">
      <c r="A278" s="219"/>
      <c r="B278" s="218"/>
      <c r="C278" s="218"/>
      <c r="D278" s="218"/>
      <c r="E278" s="218"/>
      <c r="F278" s="504"/>
      <c r="G278" s="504"/>
      <c r="H278" s="505"/>
      <c r="I278" s="505"/>
      <c r="J278" s="505"/>
      <c r="K278" s="506"/>
    </row>
    <row r="279" spans="1:11">
      <c r="A279" s="219"/>
      <c r="B279" s="218"/>
      <c r="C279" s="218"/>
      <c r="D279" s="218"/>
      <c r="E279" s="218"/>
      <c r="F279" s="504"/>
      <c r="G279" s="504"/>
      <c r="H279" s="505"/>
      <c r="I279" s="505"/>
      <c r="J279" s="505"/>
      <c r="K279" s="506"/>
    </row>
    <row r="280" spans="1:11">
      <c r="A280" s="219"/>
      <c r="B280" s="218"/>
      <c r="C280" s="218"/>
      <c r="D280" s="218"/>
      <c r="E280" s="218"/>
      <c r="F280" s="504"/>
      <c r="G280" s="504"/>
      <c r="H280" s="505"/>
      <c r="I280" s="505"/>
      <c r="J280" s="505"/>
      <c r="K280" s="506"/>
    </row>
    <row r="281" spans="1:11">
      <c r="A281" s="219"/>
      <c r="B281" s="218"/>
      <c r="C281" s="218"/>
      <c r="D281" s="218"/>
      <c r="E281" s="218"/>
      <c r="F281" s="504"/>
      <c r="G281" s="504"/>
      <c r="H281" s="505"/>
      <c r="I281" s="505"/>
      <c r="J281" s="505"/>
      <c r="K281" s="506"/>
    </row>
    <row r="282" spans="1:11">
      <c r="A282" s="219"/>
      <c r="B282" s="218"/>
      <c r="C282" s="218"/>
      <c r="D282" s="218"/>
      <c r="E282" s="218"/>
      <c r="F282" s="504"/>
      <c r="G282" s="504"/>
      <c r="H282" s="505"/>
      <c r="I282" s="505"/>
      <c r="J282" s="505"/>
      <c r="K282" s="506"/>
    </row>
    <row r="283" spans="1:11">
      <c r="A283" s="219"/>
      <c r="B283" s="218"/>
      <c r="C283" s="218"/>
      <c r="D283" s="218"/>
      <c r="E283" s="218"/>
      <c r="F283" s="504"/>
      <c r="G283" s="504"/>
      <c r="H283" s="505"/>
      <c r="I283" s="505"/>
      <c r="J283" s="505"/>
      <c r="K283" s="506"/>
    </row>
    <row r="284" spans="1:11">
      <c r="A284" s="219"/>
      <c r="B284" s="218"/>
      <c r="C284" s="218"/>
      <c r="D284" s="218"/>
      <c r="E284" s="218"/>
      <c r="F284" s="504"/>
      <c r="G284" s="504"/>
      <c r="H284" s="505"/>
      <c r="I284" s="505"/>
      <c r="J284" s="505"/>
      <c r="K284" s="506"/>
    </row>
    <row r="285" spans="1:11">
      <c r="A285" s="219"/>
      <c r="B285" s="218"/>
      <c r="C285" s="218"/>
      <c r="D285" s="218"/>
      <c r="E285" s="218"/>
      <c r="F285" s="504"/>
      <c r="G285" s="504"/>
      <c r="H285" s="505"/>
      <c r="I285" s="505"/>
      <c r="J285" s="505"/>
      <c r="K285" s="506"/>
    </row>
    <row r="286" spans="1:11">
      <c r="A286" s="219"/>
      <c r="B286" s="218"/>
      <c r="C286" s="218"/>
      <c r="D286" s="218"/>
      <c r="E286" s="218"/>
      <c r="F286" s="504"/>
      <c r="G286" s="504"/>
      <c r="H286" s="505"/>
      <c r="I286" s="505"/>
      <c r="J286" s="505"/>
      <c r="K286" s="506"/>
    </row>
    <row r="287" spans="1:11">
      <c r="A287" s="219"/>
      <c r="B287" s="218"/>
      <c r="C287" s="218"/>
      <c r="D287" s="218"/>
      <c r="E287" s="218"/>
      <c r="F287" s="504"/>
      <c r="G287" s="504"/>
      <c r="H287" s="505"/>
      <c r="I287" s="505"/>
      <c r="J287" s="505"/>
      <c r="K287" s="506"/>
    </row>
    <row r="288" spans="1:11">
      <c r="A288" s="219"/>
      <c r="B288" s="218"/>
      <c r="C288" s="218"/>
      <c r="D288" s="218"/>
      <c r="E288" s="218"/>
      <c r="F288" s="504"/>
      <c r="G288" s="504"/>
      <c r="H288" s="505"/>
      <c r="I288" s="505"/>
      <c r="J288" s="505"/>
      <c r="K288" s="506"/>
    </row>
    <row r="289" spans="1:11">
      <c r="A289" s="219"/>
      <c r="B289" s="218"/>
      <c r="C289" s="218"/>
      <c r="D289" s="218"/>
      <c r="E289" s="218"/>
      <c r="F289" s="504"/>
      <c r="G289" s="504"/>
      <c r="H289" s="505"/>
      <c r="I289" s="505"/>
      <c r="J289" s="505"/>
      <c r="K289" s="506"/>
    </row>
    <row r="290" spans="1:11">
      <c r="A290" s="219"/>
      <c r="B290" s="218"/>
      <c r="C290" s="218"/>
      <c r="D290" s="218"/>
      <c r="E290" s="218"/>
      <c r="F290" s="504"/>
      <c r="G290" s="504"/>
      <c r="H290" s="505"/>
      <c r="I290" s="505"/>
      <c r="J290" s="505"/>
      <c r="K290" s="506"/>
    </row>
    <row r="291" spans="1:11">
      <c r="A291" s="219"/>
      <c r="B291" s="218"/>
      <c r="C291" s="218"/>
      <c r="D291" s="218"/>
      <c r="E291" s="218"/>
      <c r="F291" s="504"/>
      <c r="G291" s="504"/>
      <c r="H291" s="505"/>
      <c r="I291" s="505"/>
      <c r="J291" s="505"/>
      <c r="K291" s="506"/>
    </row>
    <row r="292" spans="1:11">
      <c r="A292" s="219"/>
      <c r="B292" s="218"/>
      <c r="C292" s="218"/>
      <c r="D292" s="218"/>
      <c r="E292" s="218"/>
      <c r="F292" s="504"/>
      <c r="G292" s="504"/>
      <c r="H292" s="505"/>
      <c r="I292" s="505"/>
      <c r="J292" s="505"/>
      <c r="K292" s="506"/>
    </row>
    <row r="293" spans="1:11">
      <c r="A293" s="219"/>
      <c r="B293" s="218"/>
      <c r="C293" s="218"/>
      <c r="D293" s="218"/>
      <c r="E293" s="218"/>
      <c r="F293" s="504"/>
      <c r="G293" s="504"/>
      <c r="H293" s="505"/>
      <c r="I293" s="505"/>
      <c r="J293" s="505"/>
      <c r="K293" s="506"/>
    </row>
    <row r="294" spans="1:11">
      <c r="A294" s="219"/>
      <c r="B294" s="218"/>
      <c r="C294" s="218"/>
      <c r="D294" s="218"/>
      <c r="E294" s="218"/>
      <c r="F294" s="504"/>
      <c r="G294" s="504"/>
      <c r="H294" s="505"/>
      <c r="I294" s="505"/>
      <c r="J294" s="505"/>
      <c r="K294" s="506"/>
    </row>
    <row r="295" spans="1:11">
      <c r="A295" s="219"/>
      <c r="B295" s="218"/>
      <c r="C295" s="218"/>
      <c r="D295" s="218"/>
      <c r="E295" s="218"/>
      <c r="F295" s="504"/>
      <c r="G295" s="504"/>
      <c r="H295" s="505"/>
      <c r="I295" s="505"/>
      <c r="J295" s="505"/>
      <c r="K295" s="506"/>
    </row>
    <row r="296" spans="1:11">
      <c r="A296" s="219"/>
      <c r="B296" s="218"/>
      <c r="C296" s="218"/>
      <c r="D296" s="218"/>
      <c r="E296" s="218"/>
      <c r="F296" s="504"/>
      <c r="G296" s="504"/>
      <c r="H296" s="505"/>
      <c r="I296" s="505"/>
      <c r="J296" s="505"/>
      <c r="K296" s="506"/>
    </row>
    <row r="297" spans="1:11">
      <c r="A297" s="219"/>
      <c r="B297" s="218"/>
      <c r="C297" s="218"/>
      <c r="D297" s="218"/>
      <c r="E297" s="218"/>
      <c r="F297" s="504"/>
      <c r="G297" s="504"/>
      <c r="H297" s="505"/>
      <c r="I297" s="505"/>
      <c r="J297" s="505"/>
      <c r="K297" s="506"/>
    </row>
    <row r="298" spans="1:11">
      <c r="A298" s="219"/>
      <c r="B298" s="218"/>
      <c r="C298" s="218"/>
      <c r="D298" s="218"/>
      <c r="E298" s="218"/>
      <c r="F298" s="504"/>
      <c r="G298" s="504"/>
      <c r="H298" s="505"/>
      <c r="I298" s="505"/>
      <c r="J298" s="505"/>
      <c r="K298" s="506"/>
    </row>
    <row r="299" spans="1:11">
      <c r="A299" s="219"/>
      <c r="B299" s="218"/>
      <c r="C299" s="218"/>
      <c r="D299" s="218"/>
      <c r="E299" s="218"/>
      <c r="F299" s="504"/>
      <c r="G299" s="504"/>
      <c r="H299" s="505"/>
      <c r="I299" s="505"/>
      <c r="J299" s="505"/>
      <c r="K299" s="506"/>
    </row>
    <row r="300" spans="1:11">
      <c r="A300" s="219"/>
      <c r="B300" s="218"/>
      <c r="C300" s="218"/>
      <c r="D300" s="218"/>
      <c r="E300" s="218"/>
      <c r="F300" s="504"/>
      <c r="G300" s="504"/>
      <c r="H300" s="505"/>
      <c r="I300" s="505"/>
      <c r="J300" s="505"/>
      <c r="K300" s="506"/>
    </row>
    <row r="301" spans="1:11">
      <c r="A301" s="219"/>
      <c r="B301" s="218"/>
      <c r="C301" s="218"/>
      <c r="D301" s="218"/>
      <c r="E301" s="218"/>
      <c r="F301" s="504"/>
      <c r="G301" s="504"/>
      <c r="H301" s="505"/>
      <c r="I301" s="505"/>
      <c r="J301" s="505"/>
      <c r="K301" s="506"/>
    </row>
    <row r="302" spans="1:11">
      <c r="A302" s="219"/>
      <c r="B302" s="218"/>
      <c r="C302" s="218"/>
      <c r="D302" s="218"/>
      <c r="E302" s="218"/>
      <c r="F302" s="504"/>
      <c r="G302" s="504"/>
      <c r="H302" s="505"/>
      <c r="I302" s="505"/>
      <c r="J302" s="505"/>
      <c r="K302" s="506"/>
    </row>
    <row r="303" spans="1:11">
      <c r="A303" s="219"/>
      <c r="B303" s="218"/>
      <c r="C303" s="218"/>
      <c r="D303" s="218"/>
      <c r="E303" s="218"/>
      <c r="F303" s="504"/>
      <c r="G303" s="504"/>
      <c r="H303" s="505"/>
      <c r="I303" s="505"/>
      <c r="J303" s="505"/>
      <c r="K303" s="506"/>
    </row>
    <row r="304" spans="1:11">
      <c r="A304" s="219"/>
      <c r="B304" s="218"/>
      <c r="C304" s="218"/>
      <c r="D304" s="218"/>
      <c r="E304" s="218"/>
      <c r="F304" s="504"/>
      <c r="G304" s="504"/>
      <c r="H304" s="505"/>
      <c r="I304" s="505"/>
      <c r="J304" s="505"/>
      <c r="K304" s="506"/>
    </row>
    <row r="305" spans="1:11">
      <c r="A305" s="219"/>
      <c r="B305" s="218"/>
      <c r="C305" s="218"/>
      <c r="D305" s="218"/>
      <c r="E305" s="218"/>
      <c r="F305" s="504"/>
      <c r="G305" s="504"/>
      <c r="H305" s="505"/>
      <c r="I305" s="505"/>
      <c r="J305" s="505"/>
      <c r="K305" s="506"/>
    </row>
    <row r="306" spans="1:11">
      <c r="A306" s="219"/>
      <c r="B306" s="218"/>
      <c r="C306" s="218"/>
      <c r="D306" s="218"/>
      <c r="E306" s="218"/>
      <c r="F306" s="504"/>
      <c r="G306" s="504"/>
      <c r="H306" s="505"/>
      <c r="I306" s="505"/>
      <c r="J306" s="505"/>
      <c r="K306" s="506"/>
    </row>
    <row r="307" spans="1:11">
      <c r="A307" s="219"/>
      <c r="B307" s="218"/>
      <c r="C307" s="218"/>
      <c r="D307" s="218"/>
      <c r="E307" s="218"/>
      <c r="F307" s="504"/>
      <c r="G307" s="504"/>
      <c r="H307" s="505"/>
      <c r="I307" s="505"/>
      <c r="J307" s="505"/>
      <c r="K307" s="506"/>
    </row>
    <row r="308" spans="1:11">
      <c r="A308" s="219"/>
      <c r="B308" s="218"/>
      <c r="C308" s="218"/>
      <c r="D308" s="218"/>
      <c r="E308" s="218"/>
      <c r="F308" s="504"/>
      <c r="G308" s="504"/>
      <c r="H308" s="505"/>
      <c r="I308" s="505"/>
      <c r="J308" s="505"/>
      <c r="K308" s="506"/>
    </row>
    <row r="309" spans="1:11">
      <c r="A309" s="219"/>
      <c r="B309" s="218"/>
      <c r="C309" s="218"/>
      <c r="D309" s="218"/>
      <c r="E309" s="218"/>
      <c r="F309" s="504"/>
      <c r="G309" s="504"/>
      <c r="H309" s="505"/>
      <c r="I309" s="505"/>
      <c r="J309" s="505"/>
      <c r="K309" s="506"/>
    </row>
    <row r="310" spans="1:11">
      <c r="A310" s="219"/>
      <c r="B310" s="218"/>
      <c r="C310" s="218"/>
      <c r="D310" s="218"/>
      <c r="E310" s="218"/>
      <c r="F310" s="504"/>
      <c r="G310" s="504"/>
      <c r="H310" s="505"/>
      <c r="I310" s="505"/>
      <c r="J310" s="505"/>
      <c r="K310" s="506"/>
    </row>
    <row r="311" spans="1:11">
      <c r="A311" s="219"/>
      <c r="B311" s="218"/>
      <c r="C311" s="218"/>
      <c r="D311" s="218"/>
      <c r="E311" s="218"/>
      <c r="F311" s="504"/>
      <c r="G311" s="504"/>
      <c r="H311" s="505"/>
      <c r="I311" s="505"/>
      <c r="J311" s="505"/>
      <c r="K311" s="506"/>
    </row>
    <row r="312" spans="1:11">
      <c r="A312" s="219"/>
      <c r="B312" s="218"/>
      <c r="C312" s="218"/>
      <c r="D312" s="218"/>
      <c r="E312" s="218"/>
      <c r="F312" s="504"/>
      <c r="G312" s="504"/>
      <c r="H312" s="505"/>
      <c r="I312" s="505"/>
      <c r="J312" s="505"/>
      <c r="K312" s="506"/>
    </row>
    <row r="313" spans="1:11">
      <c r="A313" s="219"/>
      <c r="B313" s="218"/>
      <c r="C313" s="218"/>
      <c r="D313" s="218"/>
      <c r="E313" s="218"/>
      <c r="F313" s="504"/>
      <c r="G313" s="504"/>
      <c r="H313" s="505"/>
      <c r="I313" s="505"/>
      <c r="J313" s="505"/>
      <c r="K313" s="506"/>
    </row>
    <row r="314" spans="1:11">
      <c r="A314" s="219"/>
      <c r="B314" s="218"/>
      <c r="C314" s="218"/>
      <c r="D314" s="218"/>
      <c r="E314" s="218"/>
      <c r="F314" s="504"/>
      <c r="G314" s="504"/>
      <c r="H314" s="505"/>
      <c r="I314" s="505"/>
      <c r="J314" s="505"/>
      <c r="K314" s="506"/>
    </row>
    <row r="315" spans="1:11">
      <c r="A315" s="219"/>
      <c r="B315" s="218"/>
      <c r="C315" s="218"/>
      <c r="D315" s="218"/>
      <c r="E315" s="218"/>
      <c r="F315" s="504"/>
      <c r="G315" s="504"/>
      <c r="H315" s="505"/>
      <c r="I315" s="505"/>
      <c r="J315" s="505"/>
      <c r="K315" s="506"/>
    </row>
    <row r="316" spans="1:11">
      <c r="A316" s="219"/>
      <c r="B316" s="218"/>
      <c r="C316" s="218"/>
      <c r="D316" s="218"/>
      <c r="E316" s="218"/>
      <c r="F316" s="504"/>
      <c r="G316" s="504"/>
      <c r="H316" s="505"/>
      <c r="I316" s="505"/>
      <c r="J316" s="505"/>
      <c r="K316" s="506"/>
    </row>
    <row r="317" spans="1:11">
      <c r="A317" s="219"/>
      <c r="B317" s="218"/>
      <c r="C317" s="218"/>
      <c r="D317" s="218"/>
      <c r="E317" s="218"/>
      <c r="F317" s="504"/>
      <c r="G317" s="504"/>
      <c r="H317" s="505"/>
      <c r="I317" s="505"/>
      <c r="J317" s="505"/>
      <c r="K317" s="506"/>
    </row>
    <row r="318" spans="1:11">
      <c r="A318" s="219"/>
      <c r="B318" s="218"/>
      <c r="C318" s="218"/>
      <c r="D318" s="218"/>
      <c r="E318" s="218"/>
      <c r="F318" s="504"/>
      <c r="G318" s="504"/>
      <c r="H318" s="505"/>
      <c r="I318" s="505"/>
      <c r="J318" s="505"/>
      <c r="K318" s="506"/>
    </row>
    <row r="319" spans="1:11">
      <c r="A319" s="219"/>
      <c r="B319" s="218"/>
      <c r="C319" s="218"/>
      <c r="D319" s="218"/>
      <c r="E319" s="218"/>
      <c r="F319" s="504"/>
      <c r="G319" s="504"/>
      <c r="H319" s="505"/>
      <c r="I319" s="505"/>
      <c r="J319" s="505"/>
      <c r="K319" s="506"/>
    </row>
    <row r="320" spans="1:11">
      <c r="A320" s="219"/>
      <c r="B320" s="218"/>
      <c r="C320" s="218"/>
      <c r="D320" s="218"/>
      <c r="E320" s="218"/>
      <c r="F320" s="504"/>
      <c r="G320" s="504"/>
      <c r="H320" s="505"/>
      <c r="I320" s="505"/>
      <c r="J320" s="505"/>
      <c r="K320" s="506"/>
    </row>
    <row r="321" spans="1:11">
      <c r="A321" s="219"/>
      <c r="B321" s="218"/>
      <c r="C321" s="218"/>
      <c r="D321" s="218"/>
      <c r="E321" s="218"/>
      <c r="F321" s="504"/>
      <c r="G321" s="504"/>
      <c r="H321" s="505"/>
      <c r="I321" s="505"/>
      <c r="J321" s="505"/>
      <c r="K321" s="506"/>
    </row>
    <row r="322" spans="1:11">
      <c r="A322" s="219"/>
      <c r="B322" s="218"/>
      <c r="C322" s="218"/>
      <c r="D322" s="218"/>
      <c r="E322" s="218"/>
      <c r="F322" s="504"/>
      <c r="G322" s="504"/>
      <c r="H322" s="505"/>
      <c r="I322" s="505"/>
      <c r="J322" s="505"/>
      <c r="K322" s="506"/>
    </row>
    <row r="323" spans="1:11">
      <c r="A323" s="219"/>
      <c r="B323" s="218"/>
      <c r="C323" s="218"/>
      <c r="D323" s="218"/>
      <c r="E323" s="218"/>
      <c r="F323" s="504"/>
      <c r="G323" s="504"/>
      <c r="H323" s="505"/>
      <c r="I323" s="505"/>
      <c r="J323" s="505"/>
      <c r="K323" s="506"/>
    </row>
    <row r="324" spans="1:11">
      <c r="A324" s="219"/>
      <c r="B324" s="218"/>
      <c r="C324" s="218"/>
      <c r="D324" s="218"/>
      <c r="E324" s="218"/>
      <c r="F324" s="504"/>
      <c r="G324" s="504"/>
      <c r="H324" s="505"/>
      <c r="I324" s="505"/>
      <c r="J324" s="505"/>
      <c r="K324" s="506"/>
    </row>
    <row r="325" spans="1:11">
      <c r="A325" s="219"/>
      <c r="B325" s="218"/>
      <c r="C325" s="218"/>
      <c r="D325" s="218"/>
      <c r="E325" s="218"/>
      <c r="F325" s="504"/>
      <c r="G325" s="504"/>
      <c r="H325" s="505"/>
      <c r="I325" s="505"/>
      <c r="J325" s="505"/>
      <c r="K325" s="506"/>
    </row>
    <row r="326" spans="1:11">
      <c r="A326" s="219"/>
      <c r="B326" s="218"/>
      <c r="C326" s="218"/>
      <c r="D326" s="218"/>
      <c r="E326" s="218"/>
      <c r="F326" s="504"/>
      <c r="G326" s="504"/>
      <c r="H326" s="505"/>
      <c r="I326" s="505"/>
      <c r="J326" s="505"/>
      <c r="K326" s="506"/>
    </row>
    <row r="327" spans="1:11">
      <c r="A327" s="219"/>
      <c r="B327" s="218"/>
      <c r="C327" s="218"/>
      <c r="D327" s="218"/>
      <c r="E327" s="218"/>
      <c r="F327" s="504"/>
      <c r="G327" s="504"/>
      <c r="H327" s="505"/>
      <c r="I327" s="505"/>
      <c r="J327" s="505"/>
      <c r="K327" s="506"/>
    </row>
    <row r="328" spans="1:11">
      <c r="A328" s="219"/>
      <c r="B328" s="218"/>
      <c r="C328" s="218"/>
      <c r="D328" s="218"/>
      <c r="E328" s="218"/>
      <c r="F328" s="504"/>
      <c r="G328" s="504"/>
      <c r="H328" s="505"/>
      <c r="I328" s="505"/>
      <c r="J328" s="505"/>
      <c r="K328" s="506"/>
    </row>
    <row r="329" spans="1:11">
      <c r="A329" s="219"/>
      <c r="B329" s="218"/>
      <c r="C329" s="218"/>
      <c r="D329" s="218"/>
      <c r="E329" s="218"/>
      <c r="F329" s="504"/>
      <c r="G329" s="504"/>
      <c r="H329" s="505"/>
      <c r="I329" s="505"/>
      <c r="J329" s="505"/>
      <c r="K329" s="506"/>
    </row>
    <row r="330" spans="1:11">
      <c r="A330" s="219"/>
      <c r="B330" s="218"/>
      <c r="C330" s="218"/>
      <c r="D330" s="218"/>
      <c r="E330" s="218"/>
      <c r="F330" s="504"/>
      <c r="G330" s="504"/>
      <c r="H330" s="505"/>
      <c r="I330" s="505"/>
      <c r="J330" s="505"/>
      <c r="K330" s="506"/>
    </row>
    <row r="331" spans="1:11">
      <c r="A331" s="219"/>
      <c r="B331" s="218"/>
      <c r="C331" s="218"/>
      <c r="D331" s="218"/>
      <c r="E331" s="218"/>
      <c r="F331" s="504"/>
      <c r="G331" s="504"/>
      <c r="H331" s="505"/>
      <c r="I331" s="505"/>
      <c r="J331" s="505"/>
      <c r="K331" s="506"/>
    </row>
    <row r="332" spans="1:11">
      <c r="A332" s="219"/>
      <c r="B332" s="218"/>
      <c r="C332" s="218"/>
      <c r="D332" s="218"/>
      <c r="E332" s="218"/>
      <c r="F332" s="504"/>
      <c r="G332" s="504"/>
      <c r="H332" s="505"/>
      <c r="I332" s="505"/>
      <c r="J332" s="505"/>
      <c r="K332" s="506"/>
    </row>
    <row r="333" spans="1:11">
      <c r="A333" s="219"/>
      <c r="B333" s="218"/>
      <c r="C333" s="218"/>
      <c r="D333" s="218"/>
      <c r="E333" s="218"/>
      <c r="F333" s="504"/>
      <c r="G333" s="504"/>
      <c r="H333" s="505"/>
      <c r="I333" s="505"/>
      <c r="J333" s="505"/>
      <c r="K333" s="506"/>
    </row>
    <row r="334" spans="1:11">
      <c r="A334" s="219"/>
      <c r="B334" s="218"/>
      <c r="C334" s="218"/>
      <c r="D334" s="218"/>
      <c r="E334" s="218"/>
      <c r="F334" s="504"/>
      <c r="G334" s="504"/>
      <c r="H334" s="505"/>
      <c r="I334" s="505"/>
      <c r="J334" s="505"/>
      <c r="K334" s="506"/>
    </row>
    <row r="335" spans="1:11">
      <c r="A335" s="219"/>
      <c r="B335" s="218"/>
      <c r="C335" s="218"/>
      <c r="D335" s="218"/>
      <c r="E335" s="218"/>
      <c r="F335" s="504"/>
      <c r="G335" s="504"/>
      <c r="H335" s="505"/>
      <c r="I335" s="505"/>
      <c r="J335" s="505"/>
      <c r="K335" s="506"/>
    </row>
    <row r="336" spans="1:11">
      <c r="A336" s="219"/>
      <c r="B336" s="218"/>
      <c r="C336" s="218"/>
      <c r="D336" s="218"/>
      <c r="E336" s="218"/>
      <c r="F336" s="504"/>
      <c r="G336" s="504"/>
      <c r="H336" s="505"/>
      <c r="I336" s="505"/>
      <c r="J336" s="505"/>
      <c r="K336" s="506"/>
    </row>
    <row r="337" spans="1:11">
      <c r="A337" s="219"/>
      <c r="B337" s="218"/>
      <c r="C337" s="218"/>
      <c r="D337" s="218"/>
      <c r="E337" s="218"/>
      <c r="F337" s="504"/>
      <c r="G337" s="504"/>
      <c r="H337" s="505"/>
      <c r="I337" s="505"/>
      <c r="J337" s="505"/>
      <c r="K337" s="506"/>
    </row>
    <row r="338" spans="1:11">
      <c r="A338" s="219"/>
      <c r="B338" s="218"/>
      <c r="C338" s="218"/>
      <c r="D338" s="218"/>
      <c r="E338" s="218"/>
      <c r="F338" s="504"/>
      <c r="G338" s="504"/>
      <c r="H338" s="505"/>
      <c r="I338" s="505"/>
      <c r="J338" s="505"/>
      <c r="K338" s="506"/>
    </row>
    <row r="339" spans="1:11">
      <c r="A339" s="219"/>
      <c r="B339" s="218"/>
      <c r="C339" s="218"/>
      <c r="D339" s="218"/>
      <c r="E339" s="218"/>
      <c r="F339" s="504"/>
      <c r="G339" s="504"/>
      <c r="H339" s="505"/>
      <c r="I339" s="505"/>
      <c r="J339" s="505"/>
      <c r="K339" s="506"/>
    </row>
    <row r="340" spans="1:11">
      <c r="A340" s="219"/>
      <c r="B340" s="218"/>
      <c r="C340" s="218"/>
      <c r="D340" s="218"/>
      <c r="E340" s="218"/>
      <c r="F340" s="504"/>
      <c r="G340" s="504"/>
      <c r="H340" s="505"/>
      <c r="I340" s="505"/>
      <c r="J340" s="505"/>
      <c r="K340" s="506"/>
    </row>
    <row r="341" spans="1:11">
      <c r="A341" s="219"/>
      <c r="B341" s="218"/>
      <c r="C341" s="218"/>
      <c r="D341" s="218"/>
      <c r="E341" s="218"/>
      <c r="F341" s="504"/>
      <c r="G341" s="504"/>
      <c r="H341" s="505"/>
      <c r="I341" s="505"/>
      <c r="J341" s="505"/>
      <c r="K341" s="506"/>
    </row>
    <row r="342" spans="1:11">
      <c r="A342" s="219"/>
      <c r="B342" s="218"/>
      <c r="C342" s="218"/>
      <c r="D342" s="218"/>
      <c r="E342" s="218"/>
      <c r="F342" s="504"/>
      <c r="G342" s="504"/>
      <c r="H342" s="505"/>
      <c r="I342" s="505"/>
      <c r="J342" s="505"/>
      <c r="K342" s="506"/>
    </row>
    <row r="343" spans="1:11">
      <c r="A343" s="219"/>
      <c r="B343" s="218"/>
      <c r="C343" s="218"/>
      <c r="D343" s="218"/>
      <c r="E343" s="218"/>
      <c r="F343" s="504"/>
      <c r="G343" s="504"/>
      <c r="H343" s="505"/>
      <c r="I343" s="505"/>
      <c r="J343" s="505"/>
      <c r="K343" s="506"/>
    </row>
    <row r="344" spans="1:11">
      <c r="A344" s="219"/>
      <c r="B344" s="218"/>
      <c r="C344" s="218"/>
      <c r="D344" s="218"/>
      <c r="E344" s="218"/>
      <c r="F344" s="504"/>
      <c r="G344" s="504"/>
      <c r="H344" s="505"/>
      <c r="I344" s="505"/>
      <c r="J344" s="505"/>
      <c r="K344" s="506"/>
    </row>
    <row r="345" spans="1:11">
      <c r="A345" s="219"/>
      <c r="B345" s="218"/>
      <c r="C345" s="218"/>
      <c r="D345" s="218"/>
      <c r="E345" s="218"/>
      <c r="F345" s="504"/>
      <c r="G345" s="504"/>
      <c r="H345" s="505"/>
      <c r="I345" s="505"/>
      <c r="J345" s="505"/>
      <c r="K345" s="506"/>
    </row>
    <row r="346" spans="1:11">
      <c r="A346" s="219"/>
      <c r="B346" s="218"/>
      <c r="C346" s="218"/>
      <c r="D346" s="218"/>
      <c r="E346" s="218"/>
      <c r="F346" s="504"/>
      <c r="G346" s="504"/>
      <c r="H346" s="505"/>
      <c r="I346" s="505"/>
      <c r="J346" s="505"/>
      <c r="K346" s="506"/>
    </row>
    <row r="347" spans="1:11">
      <c r="A347" s="219"/>
      <c r="B347" s="218"/>
      <c r="C347" s="218"/>
      <c r="D347" s="218"/>
      <c r="E347" s="218"/>
      <c r="F347" s="504"/>
      <c r="G347" s="504"/>
      <c r="H347" s="505"/>
      <c r="I347" s="505"/>
      <c r="J347" s="505"/>
      <c r="K347" s="506"/>
    </row>
    <row r="348" spans="1:11">
      <c r="A348" s="219"/>
      <c r="B348" s="218"/>
      <c r="C348" s="218"/>
      <c r="D348" s="218"/>
      <c r="E348" s="218"/>
      <c r="F348" s="504"/>
      <c r="G348" s="504"/>
      <c r="H348" s="505"/>
      <c r="I348" s="505"/>
      <c r="J348" s="505"/>
      <c r="K348" s="506"/>
    </row>
    <row r="349" spans="1:11">
      <c r="A349" s="219"/>
      <c r="B349" s="218"/>
      <c r="C349" s="218"/>
      <c r="D349" s="218"/>
      <c r="E349" s="218"/>
      <c r="F349" s="504"/>
      <c r="G349" s="504"/>
      <c r="H349" s="505"/>
      <c r="I349" s="505"/>
      <c r="J349" s="505"/>
      <c r="K349" s="506"/>
    </row>
    <row r="350" spans="1:11">
      <c r="A350" s="219"/>
      <c r="B350" s="218"/>
      <c r="C350" s="218"/>
      <c r="D350" s="218"/>
      <c r="E350" s="218"/>
      <c r="F350" s="504"/>
      <c r="G350" s="504"/>
      <c r="H350" s="505"/>
      <c r="I350" s="505"/>
      <c r="J350" s="505"/>
      <c r="K350" s="506"/>
    </row>
    <row r="351" spans="1:11">
      <c r="A351" s="219"/>
      <c r="B351" s="218"/>
      <c r="C351" s="218"/>
      <c r="D351" s="218"/>
      <c r="E351" s="218"/>
      <c r="F351" s="504"/>
      <c r="G351" s="504"/>
      <c r="H351" s="505"/>
      <c r="I351" s="505"/>
      <c r="J351" s="505"/>
      <c r="K351" s="506"/>
    </row>
    <row r="352" spans="1:11">
      <c r="A352" s="219"/>
      <c r="B352" s="218"/>
      <c r="C352" s="218"/>
      <c r="D352" s="218"/>
      <c r="E352" s="218"/>
      <c r="F352" s="504"/>
      <c r="G352" s="504"/>
      <c r="H352" s="505"/>
      <c r="I352" s="505"/>
      <c r="J352" s="505"/>
      <c r="K352" s="506"/>
    </row>
    <row r="353" spans="1:11">
      <c r="A353" s="219"/>
      <c r="B353" s="218"/>
      <c r="C353" s="218"/>
      <c r="D353" s="218"/>
      <c r="E353" s="218"/>
      <c r="F353" s="504"/>
      <c r="G353" s="504"/>
      <c r="H353" s="505"/>
      <c r="I353" s="505"/>
      <c r="J353" s="505"/>
      <c r="K353" s="506"/>
    </row>
    <row r="354" spans="1:11">
      <c r="A354" s="219"/>
      <c r="B354" s="218"/>
      <c r="C354" s="218"/>
      <c r="D354" s="218"/>
      <c r="E354" s="218"/>
      <c r="F354" s="504"/>
      <c r="G354" s="504"/>
      <c r="H354" s="505"/>
      <c r="I354" s="505"/>
      <c r="J354" s="505"/>
      <c r="K354" s="506"/>
    </row>
    <row r="355" spans="1:11">
      <c r="A355" s="219"/>
      <c r="B355" s="218"/>
      <c r="C355" s="218"/>
      <c r="D355" s="218"/>
      <c r="E355" s="218"/>
      <c r="F355" s="504"/>
      <c r="G355" s="504"/>
      <c r="H355" s="505"/>
      <c r="I355" s="505"/>
      <c r="J355" s="505"/>
      <c r="K355" s="506"/>
    </row>
    <row r="356" spans="1:11">
      <c r="A356" s="219"/>
      <c r="B356" s="218"/>
      <c r="C356" s="218"/>
      <c r="D356" s="218"/>
      <c r="E356" s="218"/>
      <c r="F356" s="504"/>
      <c r="G356" s="504"/>
      <c r="H356" s="505"/>
      <c r="I356" s="505"/>
      <c r="J356" s="505"/>
      <c r="K356" s="506"/>
    </row>
    <row r="357" spans="1:11">
      <c r="A357" s="219"/>
      <c r="B357" s="218"/>
      <c r="C357" s="218"/>
      <c r="D357" s="218"/>
      <c r="E357" s="218"/>
      <c r="F357" s="504"/>
      <c r="G357" s="504"/>
      <c r="H357" s="505"/>
      <c r="I357" s="505"/>
      <c r="J357" s="505"/>
      <c r="K357" s="506"/>
    </row>
    <row r="358" spans="1:11">
      <c r="A358" s="219"/>
      <c r="B358" s="218"/>
      <c r="C358" s="218"/>
      <c r="D358" s="218"/>
      <c r="E358" s="218"/>
      <c r="F358" s="504"/>
      <c r="G358" s="504"/>
      <c r="H358" s="505"/>
      <c r="I358" s="505"/>
      <c r="J358" s="505"/>
      <c r="K358" s="506"/>
    </row>
    <row r="359" spans="1:11">
      <c r="A359" s="219"/>
      <c r="B359" s="218"/>
      <c r="C359" s="218"/>
      <c r="D359" s="218"/>
      <c r="E359" s="218"/>
      <c r="F359" s="504"/>
      <c r="G359" s="504"/>
      <c r="H359" s="505"/>
      <c r="I359" s="505"/>
      <c r="J359" s="505"/>
      <c r="K359" s="506"/>
    </row>
    <row r="360" spans="1:11">
      <c r="A360" s="219"/>
      <c r="B360" s="218"/>
      <c r="C360" s="218"/>
      <c r="D360" s="218"/>
      <c r="E360" s="218"/>
      <c r="F360" s="504"/>
      <c r="G360" s="504"/>
      <c r="H360" s="505"/>
      <c r="I360" s="505"/>
      <c r="J360" s="505"/>
      <c r="K360" s="506"/>
    </row>
    <row r="361" spans="1:11">
      <c r="A361" s="219"/>
      <c r="B361" s="218"/>
      <c r="C361" s="218"/>
      <c r="D361" s="218"/>
      <c r="E361" s="218"/>
      <c r="F361" s="504"/>
      <c r="G361" s="504"/>
      <c r="H361" s="505"/>
      <c r="I361" s="505"/>
      <c r="J361" s="505"/>
      <c r="K361" s="506"/>
    </row>
    <row r="362" spans="1:11">
      <c r="A362" s="219"/>
      <c r="B362" s="218"/>
      <c r="C362" s="218"/>
      <c r="D362" s="218"/>
      <c r="E362" s="218"/>
      <c r="F362" s="504"/>
      <c r="G362" s="504"/>
      <c r="H362" s="505"/>
      <c r="I362" s="505"/>
      <c r="J362" s="505"/>
      <c r="K362" s="506"/>
    </row>
    <row r="363" spans="1:11">
      <c r="A363" s="219"/>
      <c r="B363" s="218"/>
      <c r="C363" s="218"/>
      <c r="D363" s="218"/>
      <c r="E363" s="218"/>
      <c r="F363" s="504"/>
      <c r="G363" s="504"/>
      <c r="H363" s="505"/>
      <c r="I363" s="505"/>
      <c r="J363" s="505"/>
      <c r="K363" s="506"/>
    </row>
    <row r="364" spans="1:11">
      <c r="A364" s="219"/>
      <c r="B364" s="218"/>
      <c r="C364" s="218"/>
      <c r="D364" s="218"/>
      <c r="E364" s="218"/>
      <c r="F364" s="504"/>
      <c r="G364" s="504"/>
      <c r="H364" s="505"/>
      <c r="I364" s="505"/>
      <c r="J364" s="505"/>
      <c r="K364" s="506"/>
    </row>
    <row r="365" spans="1:11">
      <c r="A365" s="219"/>
      <c r="B365" s="218"/>
      <c r="C365" s="218"/>
      <c r="D365" s="218"/>
      <c r="E365" s="218"/>
      <c r="F365" s="504"/>
      <c r="G365" s="504"/>
      <c r="H365" s="505"/>
      <c r="I365" s="505"/>
      <c r="J365" s="505"/>
      <c r="K365" s="506"/>
    </row>
    <row r="366" spans="1:11">
      <c r="A366" s="219"/>
      <c r="B366" s="218"/>
      <c r="C366" s="218"/>
      <c r="D366" s="218"/>
      <c r="E366" s="218"/>
      <c r="F366" s="504"/>
      <c r="G366" s="504"/>
      <c r="H366" s="505"/>
      <c r="I366" s="505"/>
      <c r="J366" s="505"/>
      <c r="K366" s="506"/>
    </row>
    <row r="367" spans="1:11">
      <c r="A367" s="219"/>
      <c r="B367" s="218"/>
      <c r="C367" s="218"/>
      <c r="D367" s="218"/>
      <c r="E367" s="218"/>
      <c r="F367" s="504"/>
      <c r="G367" s="504"/>
      <c r="H367" s="505"/>
      <c r="I367" s="505"/>
      <c r="J367" s="505"/>
      <c r="K367" s="506"/>
    </row>
    <row r="368" spans="1:11">
      <c r="A368" s="219"/>
      <c r="B368" s="218"/>
      <c r="C368" s="218"/>
      <c r="D368" s="218"/>
      <c r="E368" s="218"/>
      <c r="F368" s="504"/>
      <c r="G368" s="504"/>
      <c r="H368" s="505"/>
      <c r="I368" s="505"/>
      <c r="J368" s="505"/>
      <c r="K368" s="506"/>
    </row>
    <row r="369" spans="1:11">
      <c r="A369" s="219"/>
      <c r="B369" s="218"/>
      <c r="C369" s="218"/>
      <c r="D369" s="218"/>
      <c r="E369" s="218"/>
      <c r="F369" s="504"/>
      <c r="G369" s="504"/>
      <c r="H369" s="505"/>
      <c r="I369" s="505"/>
      <c r="J369" s="505"/>
      <c r="K369" s="506"/>
    </row>
    <row r="370" spans="1:11">
      <c r="A370" s="219"/>
      <c r="B370" s="218"/>
      <c r="C370" s="218"/>
      <c r="D370" s="218"/>
      <c r="E370" s="218"/>
      <c r="F370" s="504"/>
      <c r="G370" s="504"/>
      <c r="H370" s="505"/>
      <c r="I370" s="505"/>
      <c r="J370" s="505"/>
      <c r="K370" s="506"/>
    </row>
    <row r="371" spans="1:11">
      <c r="A371" s="219"/>
      <c r="B371" s="218"/>
      <c r="C371" s="218"/>
      <c r="D371" s="218"/>
      <c r="E371" s="218"/>
      <c r="F371" s="504"/>
      <c r="G371" s="504"/>
      <c r="H371" s="505"/>
      <c r="I371" s="505"/>
      <c r="J371" s="505"/>
      <c r="K371" s="506"/>
    </row>
    <row r="372" spans="1:11">
      <c r="A372" s="219"/>
      <c r="B372" s="218"/>
      <c r="C372" s="218"/>
      <c r="D372" s="218"/>
      <c r="E372" s="218"/>
      <c r="F372" s="504"/>
      <c r="G372" s="504"/>
      <c r="H372" s="505"/>
      <c r="I372" s="505"/>
      <c r="J372" s="505"/>
      <c r="K372" s="506"/>
    </row>
    <row r="373" spans="1:11">
      <c r="A373" s="219"/>
      <c r="B373" s="218"/>
      <c r="C373" s="218"/>
      <c r="D373" s="218"/>
      <c r="E373" s="218"/>
      <c r="F373" s="504"/>
      <c r="G373" s="504"/>
      <c r="H373" s="505"/>
      <c r="I373" s="505"/>
      <c r="J373" s="505"/>
      <c r="K373" s="506"/>
    </row>
    <row r="374" spans="1:11">
      <c r="A374" s="219"/>
      <c r="B374" s="218"/>
      <c r="C374" s="218"/>
      <c r="D374" s="218"/>
      <c r="E374" s="218"/>
      <c r="F374" s="504"/>
      <c r="G374" s="504"/>
      <c r="H374" s="505"/>
      <c r="I374" s="505"/>
      <c r="J374" s="505"/>
      <c r="K374" s="506"/>
    </row>
    <row r="375" spans="1:11">
      <c r="A375" s="219"/>
      <c r="B375" s="218"/>
      <c r="C375" s="218"/>
      <c r="D375" s="218"/>
      <c r="E375" s="218"/>
      <c r="F375" s="504"/>
      <c r="G375" s="504"/>
      <c r="H375" s="505"/>
      <c r="I375" s="505"/>
      <c r="J375" s="505"/>
      <c r="K375" s="506"/>
    </row>
    <row r="376" spans="1:11">
      <c r="A376" s="219"/>
      <c r="B376" s="218"/>
      <c r="C376" s="218"/>
      <c r="D376" s="218"/>
      <c r="E376" s="218"/>
      <c r="F376" s="504"/>
      <c r="G376" s="504"/>
      <c r="H376" s="505"/>
      <c r="I376" s="505"/>
      <c r="J376" s="505"/>
      <c r="K376" s="506"/>
    </row>
    <row r="377" spans="1:11">
      <c r="A377" s="219"/>
      <c r="B377" s="218"/>
      <c r="C377" s="218"/>
      <c r="D377" s="218"/>
      <c r="E377" s="218"/>
      <c r="F377" s="504"/>
      <c r="G377" s="504"/>
      <c r="H377" s="505"/>
      <c r="I377" s="505"/>
      <c r="J377" s="505"/>
      <c r="K377" s="506"/>
    </row>
    <row r="378" spans="1:11">
      <c r="A378" s="219"/>
      <c r="B378" s="218"/>
      <c r="C378" s="218"/>
      <c r="D378" s="218"/>
      <c r="E378" s="218"/>
      <c r="F378" s="504"/>
      <c r="G378" s="504"/>
      <c r="H378" s="505"/>
      <c r="I378" s="505"/>
      <c r="J378" s="505"/>
      <c r="K378" s="506"/>
    </row>
    <row r="379" spans="1:11">
      <c r="A379" s="219"/>
      <c r="B379" s="218"/>
      <c r="C379" s="218"/>
      <c r="D379" s="218"/>
      <c r="E379" s="218"/>
      <c r="F379" s="504"/>
      <c r="G379" s="504"/>
      <c r="H379" s="505"/>
      <c r="I379" s="505"/>
      <c r="J379" s="505"/>
      <c r="K379" s="506"/>
    </row>
    <row r="380" spans="1:11">
      <c r="A380" s="219"/>
      <c r="B380" s="218"/>
      <c r="C380" s="218"/>
      <c r="D380" s="218"/>
      <c r="E380" s="218"/>
      <c r="F380" s="504"/>
      <c r="G380" s="504"/>
      <c r="H380" s="505"/>
      <c r="I380" s="505"/>
      <c r="J380" s="505"/>
      <c r="K380" s="506"/>
    </row>
    <row r="381" spans="1:11">
      <c r="A381" s="219"/>
      <c r="B381" s="218"/>
      <c r="C381" s="218"/>
      <c r="D381" s="218"/>
      <c r="E381" s="218"/>
      <c r="F381" s="504"/>
      <c r="G381" s="504"/>
      <c r="H381" s="505"/>
      <c r="I381" s="505"/>
      <c r="J381" s="505"/>
      <c r="K381" s="506"/>
    </row>
    <row r="382" spans="1:11">
      <c r="A382" s="219"/>
      <c r="B382" s="218"/>
      <c r="C382" s="218"/>
      <c r="D382" s="218"/>
      <c r="E382" s="218"/>
      <c r="F382" s="504"/>
      <c r="G382" s="504"/>
      <c r="H382" s="505"/>
      <c r="I382" s="505"/>
      <c r="J382" s="505"/>
      <c r="K382" s="506"/>
    </row>
    <row r="383" spans="1:11">
      <c r="A383" s="219"/>
      <c r="B383" s="218"/>
      <c r="C383" s="218"/>
      <c r="D383" s="218"/>
      <c r="E383" s="218"/>
      <c r="F383" s="504"/>
      <c r="G383" s="504"/>
      <c r="H383" s="505"/>
      <c r="I383" s="505"/>
      <c r="J383" s="505"/>
      <c r="K383" s="506"/>
    </row>
    <row r="384" spans="1:11">
      <c r="A384" s="219"/>
      <c r="B384" s="218"/>
      <c r="C384" s="218"/>
      <c r="D384" s="218"/>
      <c r="E384" s="218"/>
      <c r="F384" s="504"/>
      <c r="G384" s="504"/>
      <c r="H384" s="505"/>
      <c r="I384" s="505"/>
      <c r="J384" s="505"/>
      <c r="K384" s="506"/>
    </row>
    <row r="385" spans="1:11">
      <c r="A385" s="219"/>
      <c r="B385" s="218"/>
      <c r="C385" s="218"/>
      <c r="D385" s="218"/>
      <c r="E385" s="218"/>
      <c r="F385" s="504"/>
      <c r="G385" s="504"/>
      <c r="H385" s="505"/>
      <c r="I385" s="505"/>
      <c r="J385" s="505"/>
      <c r="K385" s="506"/>
    </row>
    <row r="386" spans="1:11">
      <c r="A386" s="219"/>
      <c r="B386" s="218"/>
      <c r="C386" s="218"/>
      <c r="D386" s="218"/>
      <c r="E386" s="218"/>
      <c r="F386" s="504"/>
      <c r="G386" s="504"/>
      <c r="H386" s="505"/>
      <c r="I386" s="505"/>
      <c r="J386" s="505"/>
      <c r="K386" s="506"/>
    </row>
    <row r="387" spans="1:11">
      <c r="A387" s="219"/>
      <c r="B387" s="218"/>
      <c r="C387" s="218"/>
      <c r="D387" s="218"/>
      <c r="E387" s="218"/>
      <c r="F387" s="504"/>
      <c r="G387" s="504"/>
      <c r="H387" s="505"/>
      <c r="I387" s="505"/>
      <c r="J387" s="505"/>
      <c r="K387" s="506"/>
    </row>
    <row r="388" spans="1:11">
      <c r="A388" s="219"/>
      <c r="B388" s="218"/>
      <c r="C388" s="218"/>
      <c r="D388" s="218"/>
      <c r="E388" s="218"/>
      <c r="F388" s="504"/>
      <c r="G388" s="504"/>
      <c r="H388" s="505"/>
      <c r="I388" s="505"/>
      <c r="J388" s="505"/>
      <c r="K388" s="506"/>
    </row>
    <row r="389" spans="1:11">
      <c r="A389" s="219"/>
      <c r="B389" s="218"/>
      <c r="C389" s="218"/>
      <c r="D389" s="218"/>
      <c r="E389" s="218"/>
      <c r="F389" s="504"/>
      <c r="G389" s="504"/>
      <c r="H389" s="505"/>
      <c r="I389" s="505"/>
      <c r="J389" s="505"/>
      <c r="K389" s="506"/>
    </row>
    <row r="390" spans="1:11">
      <c r="A390" s="219"/>
      <c r="B390" s="218"/>
      <c r="C390" s="218"/>
      <c r="D390" s="218"/>
      <c r="E390" s="218"/>
      <c r="F390" s="504"/>
      <c r="G390" s="504"/>
      <c r="H390" s="505"/>
      <c r="I390" s="505"/>
      <c r="J390" s="505"/>
      <c r="K390" s="506"/>
    </row>
    <row r="391" spans="1:11">
      <c r="A391" s="219"/>
      <c r="B391" s="218"/>
      <c r="C391" s="218"/>
      <c r="D391" s="218"/>
      <c r="E391" s="218"/>
      <c r="F391" s="504"/>
      <c r="G391" s="504"/>
      <c r="H391" s="505"/>
      <c r="I391" s="505"/>
      <c r="J391" s="505"/>
      <c r="K391" s="506"/>
    </row>
    <row r="392" spans="1:11">
      <c r="A392" s="219"/>
      <c r="B392" s="218"/>
      <c r="C392" s="218"/>
      <c r="D392" s="218"/>
      <c r="E392" s="218"/>
      <c r="F392" s="504"/>
      <c r="G392" s="504"/>
      <c r="H392" s="505"/>
      <c r="I392" s="505"/>
      <c r="J392" s="505"/>
      <c r="K392" s="506"/>
    </row>
    <row r="393" spans="1:11">
      <c r="A393" s="219"/>
      <c r="B393" s="218"/>
      <c r="C393" s="218"/>
      <c r="D393" s="218"/>
      <c r="E393" s="218"/>
      <c r="F393" s="504"/>
      <c r="G393" s="504"/>
      <c r="H393" s="505"/>
      <c r="I393" s="505"/>
      <c r="J393" s="505"/>
      <c r="K393" s="506"/>
    </row>
    <row r="394" spans="1:11">
      <c r="A394" s="219"/>
      <c r="B394" s="218"/>
      <c r="C394" s="218"/>
      <c r="D394" s="218"/>
      <c r="E394" s="218"/>
      <c r="F394" s="504"/>
      <c r="G394" s="504"/>
      <c r="H394" s="505"/>
      <c r="I394" s="505"/>
      <c r="J394" s="505"/>
      <c r="K394" s="506"/>
    </row>
    <row r="395" spans="1:11">
      <c r="A395" s="219"/>
      <c r="B395" s="218"/>
      <c r="C395" s="218"/>
      <c r="D395" s="218"/>
      <c r="E395" s="218"/>
      <c r="F395" s="504"/>
      <c r="G395" s="504"/>
      <c r="H395" s="505"/>
      <c r="I395" s="505"/>
      <c r="J395" s="505"/>
      <c r="K395" s="506"/>
    </row>
    <row r="396" spans="1:11">
      <c r="A396" s="219"/>
      <c r="B396" s="218"/>
      <c r="C396" s="218"/>
      <c r="D396" s="218"/>
      <c r="E396" s="218"/>
      <c r="F396" s="504"/>
      <c r="G396" s="504"/>
      <c r="H396" s="505"/>
      <c r="I396" s="505"/>
      <c r="J396" s="505"/>
      <c r="K396" s="506"/>
    </row>
    <row r="397" spans="1:11">
      <c r="A397" s="219"/>
      <c r="B397" s="218"/>
      <c r="C397" s="218"/>
      <c r="D397" s="218"/>
      <c r="E397" s="218"/>
      <c r="F397" s="504"/>
      <c r="G397" s="504"/>
      <c r="H397" s="505"/>
      <c r="I397" s="505"/>
      <c r="J397" s="505"/>
      <c r="K397" s="506"/>
    </row>
    <row r="398" spans="1:11">
      <c r="A398" s="219"/>
      <c r="B398" s="218"/>
      <c r="C398" s="218"/>
      <c r="D398" s="218"/>
      <c r="E398" s="218"/>
      <c r="F398" s="504"/>
      <c r="G398" s="504"/>
      <c r="H398" s="505"/>
      <c r="I398" s="505"/>
      <c r="J398" s="505"/>
      <c r="K398" s="506"/>
    </row>
    <row r="399" spans="1:11">
      <c r="A399" s="219"/>
      <c r="B399" s="218"/>
      <c r="C399" s="218"/>
      <c r="D399" s="218"/>
      <c r="E399" s="218"/>
      <c r="F399" s="504"/>
      <c r="G399" s="504"/>
      <c r="H399" s="505"/>
      <c r="I399" s="505"/>
      <c r="J399" s="505"/>
      <c r="K399" s="506"/>
    </row>
    <row r="400" spans="1:11">
      <c r="A400" s="219"/>
      <c r="B400" s="218"/>
      <c r="C400" s="218"/>
      <c r="D400" s="218"/>
      <c r="E400" s="218"/>
      <c r="F400" s="504"/>
      <c r="G400" s="504"/>
      <c r="H400" s="505"/>
      <c r="I400" s="505"/>
      <c r="J400" s="505"/>
      <c r="K400" s="506"/>
    </row>
    <row r="401" spans="1:11">
      <c r="A401" s="219"/>
      <c r="B401" s="218"/>
      <c r="C401" s="218"/>
      <c r="D401" s="218"/>
      <c r="E401" s="218"/>
      <c r="F401" s="504"/>
      <c r="G401" s="504"/>
      <c r="H401" s="505"/>
      <c r="I401" s="505"/>
      <c r="J401" s="505"/>
      <c r="K401" s="506"/>
    </row>
    <row r="402" spans="1:11">
      <c r="A402" s="219"/>
      <c r="B402" s="218"/>
      <c r="C402" s="218"/>
      <c r="D402" s="218"/>
      <c r="E402" s="218"/>
      <c r="F402" s="504"/>
      <c r="G402" s="504"/>
      <c r="H402" s="505"/>
      <c r="I402" s="505"/>
      <c r="J402" s="505"/>
      <c r="K402" s="506"/>
    </row>
    <row r="403" spans="1:11">
      <c r="A403" s="219"/>
      <c r="B403" s="218"/>
      <c r="C403" s="218"/>
      <c r="D403" s="218"/>
      <c r="E403" s="218"/>
      <c r="F403" s="504"/>
      <c r="G403" s="504"/>
      <c r="H403" s="505"/>
      <c r="I403" s="505"/>
      <c r="J403" s="505"/>
      <c r="K403" s="506"/>
    </row>
    <row r="404" spans="1:11">
      <c r="A404" s="219"/>
      <c r="B404" s="218"/>
      <c r="C404" s="218"/>
      <c r="D404" s="218"/>
      <c r="E404" s="218"/>
      <c r="F404" s="504"/>
      <c r="G404" s="504"/>
      <c r="H404" s="505"/>
      <c r="I404" s="505"/>
      <c r="J404" s="505"/>
      <c r="K404" s="506"/>
    </row>
    <row r="405" spans="1:11">
      <c r="A405" s="219"/>
      <c r="B405" s="218"/>
      <c r="C405" s="218"/>
      <c r="D405" s="218"/>
      <c r="E405" s="218"/>
      <c r="F405" s="504"/>
      <c r="G405" s="504"/>
      <c r="H405" s="505"/>
      <c r="I405" s="505"/>
      <c r="J405" s="505"/>
      <c r="K405" s="506"/>
    </row>
    <row r="406" spans="1:11">
      <c r="A406" s="219"/>
      <c r="B406" s="218"/>
      <c r="C406" s="218"/>
      <c r="D406" s="218"/>
      <c r="E406" s="218"/>
      <c r="F406" s="504"/>
      <c r="G406" s="504"/>
      <c r="H406" s="505"/>
      <c r="I406" s="505"/>
      <c r="J406" s="505"/>
      <c r="K406" s="506"/>
    </row>
    <row r="407" spans="1:11">
      <c r="A407" s="219"/>
      <c r="B407" s="218"/>
      <c r="C407" s="218"/>
      <c r="D407" s="218"/>
      <c r="E407" s="218"/>
      <c r="F407" s="504"/>
      <c r="G407" s="504"/>
      <c r="H407" s="505"/>
      <c r="I407" s="505"/>
      <c r="J407" s="505"/>
      <c r="K407" s="506"/>
    </row>
    <row r="408" spans="1:11">
      <c r="A408" s="219"/>
      <c r="B408" s="218"/>
      <c r="C408" s="218"/>
      <c r="D408" s="218"/>
      <c r="E408" s="218"/>
      <c r="F408" s="504"/>
      <c r="G408" s="504"/>
      <c r="H408" s="505"/>
      <c r="I408" s="505"/>
      <c r="J408" s="505"/>
      <c r="K408" s="506"/>
    </row>
    <row r="409" spans="1:11">
      <c r="A409" s="219"/>
      <c r="B409" s="218"/>
      <c r="C409" s="218"/>
      <c r="D409" s="218"/>
      <c r="E409" s="218"/>
      <c r="F409" s="504"/>
      <c r="G409" s="504"/>
      <c r="H409" s="505"/>
      <c r="I409" s="505"/>
      <c r="J409" s="505"/>
      <c r="K409" s="506"/>
    </row>
    <row r="410" spans="1:11">
      <c r="A410" s="219"/>
      <c r="B410" s="218"/>
      <c r="C410" s="218"/>
      <c r="D410" s="218"/>
      <c r="E410" s="218"/>
      <c r="F410" s="504"/>
      <c r="G410" s="504"/>
      <c r="H410" s="505"/>
      <c r="I410" s="505"/>
      <c r="J410" s="505"/>
      <c r="K410" s="506"/>
    </row>
    <row r="411" spans="1:11">
      <c r="A411" s="219"/>
      <c r="B411" s="218"/>
      <c r="C411" s="218"/>
      <c r="D411" s="218"/>
      <c r="E411" s="218"/>
      <c r="F411" s="504"/>
      <c r="G411" s="504"/>
      <c r="H411" s="505"/>
      <c r="I411" s="505"/>
      <c r="J411" s="505"/>
      <c r="K411" s="506"/>
    </row>
    <row r="412" spans="1:11">
      <c r="A412" s="219"/>
      <c r="B412" s="218"/>
      <c r="C412" s="218"/>
      <c r="D412" s="218"/>
      <c r="E412" s="218"/>
      <c r="F412" s="504"/>
      <c r="G412" s="504"/>
      <c r="H412" s="505"/>
      <c r="I412" s="505"/>
      <c r="J412" s="505"/>
      <c r="K412" s="506"/>
    </row>
    <row r="413" spans="1:11">
      <c r="A413" s="219"/>
      <c r="B413" s="218"/>
      <c r="C413" s="218"/>
      <c r="D413" s="218"/>
      <c r="E413" s="218"/>
      <c r="F413" s="504"/>
      <c r="G413" s="504"/>
      <c r="H413" s="505"/>
      <c r="I413" s="505"/>
      <c r="J413" s="505"/>
      <c r="K413" s="506"/>
    </row>
    <row r="414" spans="1:11">
      <c r="A414" s="219"/>
      <c r="B414" s="218"/>
      <c r="C414" s="218"/>
      <c r="D414" s="218"/>
      <c r="E414" s="218"/>
      <c r="F414" s="504"/>
      <c r="G414" s="504"/>
      <c r="H414" s="505"/>
      <c r="I414" s="505"/>
      <c r="J414" s="505"/>
      <c r="K414" s="506"/>
    </row>
    <row r="415" spans="1:11">
      <c r="A415" s="219"/>
      <c r="B415" s="218"/>
      <c r="C415" s="218"/>
      <c r="D415" s="218"/>
      <c r="E415" s="218"/>
      <c r="F415" s="504"/>
      <c r="G415" s="504"/>
      <c r="H415" s="505"/>
      <c r="I415" s="505"/>
      <c r="J415" s="505"/>
      <c r="K415" s="506"/>
    </row>
    <row r="416" spans="1:11">
      <c r="A416" s="219"/>
      <c r="B416" s="218"/>
      <c r="C416" s="218"/>
      <c r="D416" s="218"/>
      <c r="E416" s="218"/>
      <c r="F416" s="504"/>
      <c r="G416" s="504"/>
      <c r="H416" s="505"/>
      <c r="I416" s="505"/>
      <c r="J416" s="505"/>
      <c r="K416" s="506"/>
    </row>
    <row r="417" spans="1:11">
      <c r="A417" s="219"/>
      <c r="B417" s="218"/>
      <c r="C417" s="218"/>
      <c r="D417" s="218"/>
      <c r="E417" s="218"/>
      <c r="F417" s="504"/>
      <c r="G417" s="504"/>
      <c r="H417" s="505"/>
      <c r="I417" s="505"/>
      <c r="J417" s="505"/>
      <c r="K417" s="506"/>
    </row>
    <row r="418" spans="1:11">
      <c r="A418" s="219"/>
      <c r="B418" s="218"/>
      <c r="C418" s="218"/>
      <c r="D418" s="218"/>
      <c r="E418" s="218"/>
      <c r="F418" s="504"/>
      <c r="G418" s="504"/>
      <c r="H418" s="505"/>
      <c r="I418" s="505"/>
      <c r="J418" s="505"/>
      <c r="K418" s="506"/>
    </row>
    <row r="419" spans="1:11">
      <c r="A419" s="219"/>
      <c r="B419" s="218"/>
      <c r="C419" s="218"/>
      <c r="D419" s="218"/>
      <c r="E419" s="218"/>
      <c r="F419" s="504"/>
      <c r="G419" s="504"/>
      <c r="H419" s="505"/>
      <c r="I419" s="505"/>
      <c r="J419" s="505"/>
      <c r="K419" s="506"/>
    </row>
    <row r="420" spans="1:11">
      <c r="A420" s="219"/>
      <c r="B420" s="218"/>
      <c r="C420" s="218"/>
      <c r="D420" s="218"/>
      <c r="E420" s="218"/>
      <c r="F420" s="504"/>
      <c r="G420" s="504"/>
      <c r="H420" s="505"/>
      <c r="I420" s="505"/>
      <c r="J420" s="505"/>
      <c r="K420" s="506"/>
    </row>
    <row r="421" spans="1:11">
      <c r="A421" s="219"/>
      <c r="B421" s="218"/>
      <c r="C421" s="218"/>
      <c r="D421" s="218"/>
      <c r="E421" s="218"/>
      <c r="F421" s="504"/>
      <c r="G421" s="504"/>
      <c r="H421" s="505"/>
      <c r="I421" s="505"/>
      <c r="J421" s="505"/>
      <c r="K421" s="506"/>
    </row>
    <row r="422" spans="1:11">
      <c r="A422" s="219"/>
      <c r="B422" s="218"/>
      <c r="C422" s="218"/>
      <c r="D422" s="218"/>
      <c r="E422" s="218"/>
      <c r="F422" s="504"/>
      <c r="G422" s="504"/>
      <c r="H422" s="505"/>
      <c r="I422" s="505"/>
      <c r="J422" s="505"/>
      <c r="K422" s="506"/>
    </row>
    <row r="423" spans="1:11">
      <c r="A423" s="219"/>
      <c r="B423" s="218"/>
      <c r="C423" s="218"/>
      <c r="D423" s="218"/>
      <c r="E423" s="218"/>
      <c r="F423" s="504"/>
      <c r="G423" s="504"/>
      <c r="H423" s="505"/>
      <c r="I423" s="505"/>
      <c r="J423" s="505"/>
      <c r="K423" s="506"/>
    </row>
    <row r="424" spans="1:11">
      <c r="A424" s="219"/>
      <c r="B424" s="218"/>
      <c r="C424" s="218"/>
      <c r="D424" s="218"/>
      <c r="E424" s="218"/>
      <c r="F424" s="504"/>
      <c r="G424" s="504"/>
      <c r="H424" s="505"/>
      <c r="I424" s="505"/>
      <c r="J424" s="505"/>
      <c r="K424" s="506"/>
    </row>
    <row r="425" spans="1:11">
      <c r="A425" s="219"/>
      <c r="B425" s="218"/>
      <c r="C425" s="218"/>
      <c r="D425" s="218"/>
      <c r="E425" s="218"/>
      <c r="F425" s="504"/>
      <c r="G425" s="504"/>
      <c r="H425" s="505"/>
      <c r="I425" s="505"/>
      <c r="J425" s="505"/>
      <c r="K425" s="506"/>
    </row>
    <row r="426" spans="1:11">
      <c r="A426" s="219"/>
      <c r="B426" s="218"/>
      <c r="C426" s="218"/>
      <c r="D426" s="218"/>
      <c r="E426" s="218"/>
      <c r="F426" s="504"/>
      <c r="G426" s="504"/>
      <c r="H426" s="505"/>
      <c r="I426" s="505"/>
      <c r="J426" s="505"/>
      <c r="K426" s="506"/>
    </row>
    <row r="427" spans="1:11">
      <c r="A427" s="219"/>
      <c r="B427" s="218"/>
      <c r="C427" s="218"/>
      <c r="D427" s="218"/>
      <c r="E427" s="218"/>
      <c r="F427" s="504"/>
      <c r="G427" s="504"/>
      <c r="H427" s="505"/>
      <c r="I427" s="505"/>
      <c r="J427" s="505"/>
      <c r="K427" s="506"/>
    </row>
    <row r="428" spans="1:11">
      <c r="A428" s="219"/>
      <c r="B428" s="218"/>
      <c r="C428" s="218"/>
      <c r="D428" s="218"/>
      <c r="E428" s="218"/>
      <c r="F428" s="504"/>
      <c r="G428" s="504"/>
      <c r="H428" s="505"/>
      <c r="I428" s="505"/>
      <c r="J428" s="505"/>
      <c r="K428" s="506"/>
    </row>
    <row r="429" spans="1:11">
      <c r="A429" s="219"/>
      <c r="B429" s="218"/>
      <c r="C429" s="218"/>
      <c r="D429" s="218"/>
      <c r="E429" s="218"/>
      <c r="F429" s="504"/>
      <c r="G429" s="504"/>
      <c r="H429" s="505"/>
      <c r="I429" s="505"/>
      <c r="J429" s="505"/>
      <c r="K429" s="506"/>
    </row>
    <row r="430" spans="1:11">
      <c r="A430" s="219"/>
      <c r="B430" s="218"/>
      <c r="C430" s="218"/>
      <c r="D430" s="218"/>
      <c r="E430" s="218"/>
      <c r="F430" s="504"/>
      <c r="G430" s="504"/>
      <c r="H430" s="505"/>
      <c r="I430" s="505"/>
      <c r="J430" s="505"/>
      <c r="K430" s="506"/>
    </row>
    <row r="431" spans="1:11">
      <c r="A431" s="219"/>
      <c r="B431" s="218"/>
      <c r="C431" s="218"/>
      <c r="D431" s="218"/>
      <c r="E431" s="218"/>
      <c r="F431" s="504"/>
      <c r="G431" s="504"/>
      <c r="H431" s="505"/>
      <c r="I431" s="505"/>
      <c r="J431" s="505"/>
      <c r="K431" s="506"/>
    </row>
    <row r="432" spans="1:11">
      <c r="A432" s="219"/>
      <c r="B432" s="218"/>
      <c r="C432" s="218"/>
      <c r="D432" s="218"/>
      <c r="E432" s="218"/>
      <c r="F432" s="504"/>
      <c r="G432" s="504"/>
      <c r="H432" s="505"/>
      <c r="I432" s="505"/>
      <c r="J432" s="505"/>
      <c r="K432" s="506"/>
    </row>
    <row r="433" spans="1:11">
      <c r="A433" s="219"/>
      <c r="B433" s="218"/>
      <c r="C433" s="218"/>
      <c r="D433" s="218"/>
      <c r="E433" s="218"/>
      <c r="F433" s="504"/>
      <c r="G433" s="504"/>
      <c r="H433" s="505"/>
      <c r="I433" s="505"/>
      <c r="J433" s="505"/>
      <c r="K433" s="506"/>
    </row>
    <row r="434" spans="1:11">
      <c r="A434" s="219"/>
      <c r="B434" s="218"/>
      <c r="C434" s="218"/>
      <c r="D434" s="218"/>
      <c r="E434" s="218"/>
      <c r="F434" s="504"/>
      <c r="G434" s="504"/>
      <c r="H434" s="505"/>
      <c r="I434" s="505"/>
      <c r="J434" s="505"/>
      <c r="K434" s="506"/>
    </row>
    <row r="435" spans="1:11">
      <c r="A435" s="219"/>
      <c r="B435" s="218"/>
      <c r="C435" s="218"/>
      <c r="D435" s="218"/>
      <c r="E435" s="218"/>
      <c r="F435" s="504"/>
      <c r="G435" s="504"/>
      <c r="H435" s="505"/>
      <c r="I435" s="505"/>
      <c r="J435" s="505"/>
      <c r="K435" s="506"/>
    </row>
    <row r="436" spans="1:11">
      <c r="A436" s="219"/>
      <c r="B436" s="218"/>
      <c r="C436" s="218"/>
      <c r="D436" s="218"/>
      <c r="E436" s="218"/>
      <c r="F436" s="504"/>
      <c r="G436" s="504"/>
      <c r="H436" s="505"/>
      <c r="I436" s="505"/>
      <c r="J436" s="505"/>
      <c r="K436" s="506"/>
    </row>
    <row r="437" spans="1:11">
      <c r="A437" s="219"/>
      <c r="B437" s="218"/>
      <c r="C437" s="218"/>
      <c r="D437" s="218"/>
      <c r="E437" s="218"/>
      <c r="F437" s="504"/>
      <c r="G437" s="504"/>
      <c r="H437" s="505"/>
      <c r="I437" s="505"/>
      <c r="J437" s="505"/>
      <c r="K437" s="506"/>
    </row>
    <row r="438" spans="1:11">
      <c r="A438" s="219"/>
      <c r="B438" s="218"/>
      <c r="C438" s="218"/>
      <c r="D438" s="218"/>
      <c r="E438" s="218"/>
      <c r="F438" s="504"/>
      <c r="G438" s="504"/>
      <c r="H438" s="505"/>
      <c r="I438" s="505"/>
      <c r="J438" s="505"/>
      <c r="K438" s="506"/>
    </row>
    <row r="439" spans="1:11">
      <c r="A439" s="219"/>
      <c r="B439" s="218"/>
      <c r="C439" s="218"/>
      <c r="D439" s="218"/>
      <c r="E439" s="218"/>
      <c r="F439" s="504"/>
      <c r="G439" s="504"/>
      <c r="H439" s="505"/>
      <c r="I439" s="505"/>
      <c r="J439" s="505"/>
      <c r="K439" s="506"/>
    </row>
    <row r="440" spans="1:11">
      <c r="A440" s="219"/>
      <c r="B440" s="218"/>
      <c r="C440" s="218"/>
      <c r="D440" s="218"/>
      <c r="E440" s="218"/>
      <c r="F440" s="504"/>
      <c r="G440" s="504"/>
      <c r="H440" s="505"/>
      <c r="I440" s="505"/>
      <c r="J440" s="505"/>
      <c r="K440" s="506"/>
    </row>
    <row r="441" spans="1:11">
      <c r="A441" s="219"/>
      <c r="B441" s="218"/>
      <c r="C441" s="218"/>
      <c r="D441" s="218"/>
      <c r="E441" s="218"/>
      <c r="F441" s="504"/>
      <c r="G441" s="504"/>
      <c r="H441" s="505"/>
      <c r="I441" s="505"/>
      <c r="J441" s="505"/>
      <c r="K441" s="506"/>
    </row>
    <row r="442" spans="1:11">
      <c r="A442" s="219"/>
      <c r="B442" s="218"/>
      <c r="C442" s="218"/>
      <c r="D442" s="218"/>
      <c r="E442" s="218"/>
      <c r="F442" s="504"/>
      <c r="G442" s="504"/>
      <c r="H442" s="505"/>
      <c r="I442" s="505"/>
      <c r="J442" s="505"/>
      <c r="K442" s="506"/>
    </row>
    <row r="443" spans="1:11">
      <c r="A443" s="219"/>
      <c r="B443" s="218"/>
      <c r="C443" s="218"/>
      <c r="D443" s="218"/>
      <c r="E443" s="218"/>
      <c r="F443" s="504"/>
      <c r="G443" s="504"/>
      <c r="H443" s="505"/>
      <c r="I443" s="505"/>
      <c r="J443" s="505"/>
      <c r="K443" s="506"/>
    </row>
    <row r="444" spans="1:11">
      <c r="A444" s="219"/>
      <c r="B444" s="218"/>
      <c r="C444" s="218"/>
      <c r="D444" s="218"/>
      <c r="E444" s="218"/>
      <c r="F444" s="504"/>
      <c r="G444" s="504"/>
      <c r="H444" s="505"/>
      <c r="I444" s="505"/>
      <c r="J444" s="505"/>
      <c r="K444" s="506"/>
    </row>
    <row r="445" spans="1:11">
      <c r="A445" s="219"/>
      <c r="B445" s="218"/>
      <c r="C445" s="218"/>
      <c r="D445" s="218"/>
      <c r="E445" s="218"/>
      <c r="F445" s="504"/>
      <c r="G445" s="504"/>
      <c r="H445" s="505"/>
      <c r="I445" s="505"/>
      <c r="J445" s="505"/>
      <c r="K445" s="506"/>
    </row>
    <row r="446" spans="1:11">
      <c r="A446" s="219"/>
      <c r="B446" s="218"/>
      <c r="C446" s="218"/>
      <c r="D446" s="218"/>
      <c r="E446" s="218"/>
      <c r="F446" s="504"/>
      <c r="G446" s="504"/>
      <c r="H446" s="505"/>
      <c r="I446" s="505"/>
      <c r="J446" s="505"/>
      <c r="K446" s="506"/>
    </row>
    <row r="447" spans="1:11">
      <c r="A447" s="219"/>
      <c r="B447" s="218"/>
      <c r="C447" s="218"/>
      <c r="D447" s="218"/>
      <c r="E447" s="218"/>
      <c r="F447" s="504"/>
      <c r="G447" s="504"/>
      <c r="H447" s="505"/>
      <c r="I447" s="505"/>
      <c r="J447" s="505"/>
      <c r="K447" s="506"/>
    </row>
    <row r="448" spans="1:11">
      <c r="A448" s="219"/>
      <c r="B448" s="218"/>
      <c r="C448" s="218"/>
      <c r="D448" s="218"/>
      <c r="E448" s="218"/>
      <c r="F448" s="504"/>
      <c r="G448" s="504"/>
      <c r="H448" s="505"/>
      <c r="I448" s="505"/>
      <c r="J448" s="505"/>
      <c r="K448" s="506"/>
    </row>
    <row r="449" spans="1:11">
      <c r="A449" s="219"/>
      <c r="B449" s="218"/>
      <c r="C449" s="218"/>
      <c r="D449" s="218"/>
      <c r="E449" s="218"/>
      <c r="F449" s="504"/>
      <c r="G449" s="504"/>
      <c r="H449" s="505"/>
      <c r="I449" s="505"/>
      <c r="J449" s="505"/>
      <c r="K449" s="506"/>
    </row>
    <row r="450" spans="1:11">
      <c r="A450" s="219"/>
      <c r="B450" s="218"/>
      <c r="C450" s="218"/>
      <c r="D450" s="218"/>
      <c r="E450" s="218"/>
      <c r="F450" s="504"/>
      <c r="G450" s="504"/>
      <c r="H450" s="505"/>
      <c r="I450" s="505"/>
      <c r="J450" s="505"/>
      <c r="K450" s="506"/>
    </row>
    <row r="451" spans="1:11">
      <c r="A451" s="219"/>
      <c r="B451" s="218"/>
      <c r="C451" s="218"/>
      <c r="D451" s="218"/>
      <c r="E451" s="218"/>
      <c r="F451" s="504"/>
      <c r="G451" s="504"/>
      <c r="H451" s="505"/>
      <c r="I451" s="505"/>
      <c r="J451" s="505"/>
      <c r="K451" s="506"/>
    </row>
    <row r="452" spans="1:11">
      <c r="A452" s="219"/>
      <c r="B452" s="218"/>
      <c r="C452" s="218"/>
      <c r="D452" s="218"/>
      <c r="E452" s="218"/>
      <c r="F452" s="504"/>
      <c r="G452" s="504"/>
      <c r="H452" s="505"/>
      <c r="I452" s="505"/>
      <c r="J452" s="505"/>
      <c r="K452" s="506"/>
    </row>
    <row r="453" spans="1:11">
      <c r="A453" s="219"/>
      <c r="B453" s="218"/>
      <c r="C453" s="218"/>
      <c r="D453" s="218"/>
      <c r="E453" s="218"/>
      <c r="F453" s="504"/>
      <c r="G453" s="504"/>
      <c r="H453" s="505"/>
      <c r="I453" s="505"/>
      <c r="J453" s="505"/>
      <c r="K453" s="506"/>
    </row>
    <row r="454" spans="1:11">
      <c r="A454" s="219"/>
      <c r="B454" s="218"/>
      <c r="C454" s="218"/>
      <c r="D454" s="218"/>
      <c r="E454" s="218"/>
      <c r="F454" s="504"/>
      <c r="G454" s="504"/>
      <c r="H454" s="505"/>
      <c r="I454" s="505"/>
      <c r="J454" s="505"/>
      <c r="K454" s="506"/>
    </row>
    <row r="455" spans="1:11">
      <c r="A455" s="219"/>
      <c r="B455" s="218"/>
      <c r="C455" s="218"/>
      <c r="D455" s="218"/>
      <c r="E455" s="218"/>
      <c r="F455" s="504"/>
      <c r="G455" s="504"/>
      <c r="H455" s="505"/>
      <c r="I455" s="505"/>
      <c r="J455" s="505"/>
      <c r="K455" s="506"/>
    </row>
    <row r="456" spans="1:11">
      <c r="A456" s="219"/>
      <c r="B456" s="218"/>
      <c r="C456" s="218"/>
      <c r="D456" s="218"/>
      <c r="E456" s="218"/>
      <c r="F456" s="504"/>
      <c r="G456" s="504"/>
      <c r="H456" s="505"/>
      <c r="I456" s="505"/>
      <c r="J456" s="505"/>
      <c r="K456" s="506"/>
    </row>
    <row r="457" spans="1:11">
      <c r="A457" s="219"/>
      <c r="B457" s="218"/>
      <c r="C457" s="218"/>
      <c r="D457" s="218"/>
      <c r="E457" s="218"/>
      <c r="F457" s="504"/>
      <c r="G457" s="504"/>
      <c r="H457" s="505"/>
      <c r="I457" s="505"/>
      <c r="J457" s="505"/>
      <c r="K457" s="506"/>
    </row>
    <row r="458" spans="1:11">
      <c r="A458" s="219"/>
      <c r="B458" s="218"/>
      <c r="C458" s="218"/>
      <c r="D458" s="218"/>
      <c r="E458" s="218"/>
      <c r="F458" s="504"/>
      <c r="G458" s="504"/>
      <c r="H458" s="505"/>
      <c r="I458" s="505"/>
      <c r="J458" s="505"/>
      <c r="K458" s="506"/>
    </row>
    <row r="459" spans="1:11">
      <c r="A459" s="219"/>
      <c r="B459" s="218"/>
      <c r="C459" s="218"/>
      <c r="D459" s="218"/>
      <c r="E459" s="218"/>
      <c r="F459" s="504"/>
      <c r="G459" s="504"/>
      <c r="H459" s="505"/>
      <c r="I459" s="505"/>
      <c r="J459" s="505"/>
      <c r="K459" s="506"/>
    </row>
    <row r="460" spans="1:11">
      <c r="A460" s="219"/>
      <c r="B460" s="218"/>
      <c r="C460" s="218"/>
      <c r="D460" s="218"/>
      <c r="E460" s="218"/>
      <c r="F460" s="504"/>
      <c r="G460" s="504"/>
      <c r="H460" s="505"/>
      <c r="I460" s="505"/>
      <c r="J460" s="505"/>
      <c r="K460" s="506"/>
    </row>
    <row r="461" spans="1:11">
      <c r="A461" s="219"/>
      <c r="B461" s="218"/>
      <c r="C461" s="218"/>
      <c r="D461" s="218"/>
      <c r="E461" s="218"/>
      <c r="F461" s="504"/>
      <c r="G461" s="504"/>
      <c r="H461" s="505"/>
      <c r="I461" s="505"/>
      <c r="J461" s="505"/>
      <c r="K461" s="506"/>
    </row>
    <row r="462" spans="1:11">
      <c r="A462" s="219"/>
      <c r="B462" s="218"/>
      <c r="C462" s="218"/>
      <c r="D462" s="218"/>
      <c r="E462" s="218"/>
      <c r="F462" s="504"/>
      <c r="G462" s="504"/>
      <c r="H462" s="505"/>
      <c r="I462" s="505"/>
      <c r="J462" s="505"/>
      <c r="K462" s="506"/>
    </row>
    <row r="463" spans="1:11">
      <c r="A463" s="219"/>
      <c r="B463" s="218"/>
      <c r="C463" s="218"/>
      <c r="D463" s="218"/>
      <c r="E463" s="218"/>
      <c r="F463" s="504"/>
      <c r="G463" s="504"/>
      <c r="H463" s="505"/>
      <c r="I463" s="505"/>
      <c r="J463" s="505"/>
      <c r="K463" s="506"/>
    </row>
    <row r="464" spans="1:11">
      <c r="A464" s="219"/>
      <c r="B464" s="218"/>
      <c r="C464" s="218"/>
      <c r="D464" s="218"/>
      <c r="E464" s="218"/>
      <c r="F464" s="504"/>
      <c r="G464" s="504"/>
      <c r="H464" s="505"/>
      <c r="I464" s="505"/>
      <c r="J464" s="505"/>
      <c r="K464" s="506"/>
    </row>
    <row r="465" spans="1:11">
      <c r="A465" s="219"/>
      <c r="B465" s="218"/>
      <c r="C465" s="218"/>
      <c r="D465" s="218"/>
      <c r="E465" s="218"/>
      <c r="F465" s="504"/>
      <c r="G465" s="504"/>
      <c r="H465" s="505"/>
      <c r="I465" s="505"/>
      <c r="J465" s="505"/>
      <c r="K465" s="506"/>
    </row>
    <row r="466" spans="1:11">
      <c r="A466" s="219"/>
      <c r="B466" s="218"/>
      <c r="C466" s="218"/>
      <c r="D466" s="218"/>
      <c r="E466" s="218"/>
      <c r="F466" s="504"/>
      <c r="G466" s="504"/>
      <c r="H466" s="505"/>
      <c r="I466" s="505"/>
      <c r="J466" s="505"/>
      <c r="K466" s="506"/>
    </row>
    <row r="467" spans="1:11">
      <c r="A467" s="219"/>
      <c r="B467" s="218"/>
      <c r="C467" s="218"/>
      <c r="D467" s="218"/>
      <c r="E467" s="218"/>
      <c r="F467" s="504"/>
      <c r="G467" s="504"/>
      <c r="H467" s="505"/>
      <c r="I467" s="505"/>
      <c r="J467" s="505"/>
      <c r="K467" s="506"/>
    </row>
    <row r="468" spans="1:11">
      <c r="A468" s="219"/>
      <c r="B468" s="218"/>
      <c r="C468" s="218"/>
      <c r="D468" s="218"/>
      <c r="E468" s="218"/>
      <c r="F468" s="504"/>
      <c r="G468" s="504"/>
      <c r="H468" s="505"/>
      <c r="I468" s="505"/>
      <c r="J468" s="505"/>
      <c r="K468" s="506"/>
    </row>
    <row r="469" spans="1:11">
      <c r="A469" s="219"/>
      <c r="B469" s="218"/>
      <c r="C469" s="218"/>
      <c r="D469" s="218"/>
      <c r="E469" s="218"/>
      <c r="F469" s="504"/>
      <c r="G469" s="504"/>
      <c r="H469" s="505"/>
      <c r="I469" s="505"/>
      <c r="J469" s="505"/>
      <c r="K469" s="506"/>
    </row>
    <row r="470" spans="1:11">
      <c r="A470" s="219"/>
      <c r="B470" s="218"/>
      <c r="C470" s="218"/>
      <c r="D470" s="218"/>
      <c r="E470" s="218"/>
      <c r="F470" s="504"/>
      <c r="G470" s="504"/>
      <c r="H470" s="505"/>
      <c r="I470" s="505"/>
      <c r="J470" s="505"/>
      <c r="K470" s="506"/>
    </row>
    <row r="471" spans="1:11">
      <c r="A471" s="219"/>
      <c r="B471" s="218"/>
      <c r="C471" s="218"/>
      <c r="D471" s="218"/>
      <c r="E471" s="218"/>
      <c r="F471" s="504"/>
      <c r="G471" s="504"/>
      <c r="H471" s="505"/>
      <c r="I471" s="505"/>
      <c r="J471" s="505"/>
      <c r="K471" s="506"/>
    </row>
    <row r="472" spans="1:11">
      <c r="A472" s="219"/>
      <c r="B472" s="218"/>
      <c r="C472" s="218"/>
      <c r="D472" s="218"/>
      <c r="E472" s="218"/>
      <c r="F472" s="504"/>
      <c r="G472" s="504"/>
      <c r="H472" s="505"/>
      <c r="I472" s="505"/>
      <c r="J472" s="505"/>
      <c r="K472" s="506"/>
    </row>
    <row r="473" spans="1:11">
      <c r="A473" s="219"/>
      <c r="B473" s="218"/>
      <c r="C473" s="218"/>
      <c r="D473" s="218"/>
      <c r="E473" s="218"/>
      <c r="F473" s="504"/>
      <c r="G473" s="504"/>
      <c r="H473" s="505"/>
      <c r="I473" s="505"/>
      <c r="J473" s="505"/>
      <c r="K473" s="506"/>
    </row>
    <row r="474" spans="1:11">
      <c r="A474" s="219"/>
      <c r="B474" s="218"/>
      <c r="C474" s="218"/>
      <c r="D474" s="218"/>
      <c r="E474" s="218"/>
      <c r="F474" s="504"/>
      <c r="G474" s="504"/>
      <c r="H474" s="505"/>
      <c r="I474" s="505"/>
      <c r="J474" s="505"/>
      <c r="K474" s="506"/>
    </row>
    <row r="475" spans="1:11">
      <c r="A475" s="219"/>
      <c r="B475" s="218"/>
      <c r="C475" s="218"/>
      <c r="D475" s="218"/>
      <c r="E475" s="218"/>
      <c r="F475" s="504"/>
      <c r="G475" s="504"/>
      <c r="H475" s="505"/>
      <c r="I475" s="505"/>
      <c r="J475" s="505"/>
      <c r="K475" s="506"/>
    </row>
    <row r="476" spans="1:11">
      <c r="A476" s="219"/>
      <c r="B476" s="218"/>
      <c r="C476" s="218"/>
      <c r="D476" s="218"/>
      <c r="E476" s="218"/>
      <c r="F476" s="504"/>
      <c r="G476" s="504"/>
      <c r="H476" s="505"/>
      <c r="I476" s="505"/>
      <c r="J476" s="505"/>
      <c r="K476" s="506"/>
    </row>
    <row r="477" spans="1:11">
      <c r="A477" s="219"/>
      <c r="B477" s="218"/>
      <c r="C477" s="218"/>
      <c r="D477" s="218"/>
      <c r="E477" s="218"/>
      <c r="F477" s="504"/>
      <c r="G477" s="504"/>
      <c r="H477" s="505"/>
      <c r="I477" s="505"/>
      <c r="J477" s="505"/>
      <c r="K477" s="506"/>
    </row>
    <row r="478" spans="1:11">
      <c r="A478" s="219"/>
      <c r="B478" s="218"/>
      <c r="C478" s="218"/>
      <c r="D478" s="218"/>
      <c r="E478" s="218"/>
      <c r="F478" s="504"/>
      <c r="G478" s="504"/>
      <c r="H478" s="505"/>
      <c r="I478" s="505"/>
      <c r="J478" s="505"/>
      <c r="K478" s="506"/>
    </row>
    <row r="479" spans="1:11">
      <c r="A479" s="219"/>
      <c r="B479" s="218"/>
      <c r="C479" s="218"/>
      <c r="D479" s="218"/>
      <c r="E479" s="218"/>
      <c r="F479" s="504"/>
      <c r="G479" s="504"/>
      <c r="H479" s="505"/>
      <c r="I479" s="505"/>
      <c r="J479" s="505"/>
      <c r="K479" s="506"/>
    </row>
    <row r="480" spans="1:11">
      <c r="A480" s="219"/>
      <c r="B480" s="218"/>
      <c r="C480" s="218"/>
      <c r="D480" s="218"/>
      <c r="E480" s="218"/>
      <c r="F480" s="504"/>
      <c r="G480" s="504"/>
      <c r="H480" s="505"/>
      <c r="I480" s="505"/>
      <c r="J480" s="505"/>
      <c r="K480" s="506"/>
    </row>
    <row r="481" spans="1:11">
      <c r="A481" s="219"/>
      <c r="B481" s="218"/>
      <c r="C481" s="218"/>
      <c r="D481" s="218"/>
      <c r="E481" s="218"/>
      <c r="F481" s="504"/>
      <c r="G481" s="504"/>
      <c r="H481" s="505"/>
      <c r="I481" s="505"/>
      <c r="J481" s="505"/>
      <c r="K481" s="506"/>
    </row>
    <row r="482" spans="1:11">
      <c r="A482" s="219"/>
      <c r="B482" s="218"/>
      <c r="C482" s="218"/>
      <c r="D482" s="218"/>
      <c r="E482" s="218"/>
      <c r="F482" s="504"/>
      <c r="G482" s="504"/>
      <c r="H482" s="505"/>
      <c r="I482" s="505"/>
      <c r="J482" s="505"/>
      <c r="K482" s="506"/>
    </row>
    <row r="483" spans="1:11">
      <c r="A483" s="219"/>
      <c r="B483" s="218"/>
      <c r="C483" s="218"/>
      <c r="D483" s="218"/>
      <c r="E483" s="218"/>
      <c r="F483" s="504"/>
      <c r="G483" s="504"/>
      <c r="H483" s="505"/>
      <c r="I483" s="505"/>
      <c r="J483" s="505"/>
      <c r="K483" s="506"/>
    </row>
    <row r="484" spans="1:11">
      <c r="A484" s="219"/>
      <c r="B484" s="218"/>
      <c r="C484" s="218"/>
      <c r="D484" s="218"/>
      <c r="E484" s="218"/>
      <c r="F484" s="504"/>
      <c r="G484" s="504"/>
      <c r="H484" s="505"/>
      <c r="I484" s="505"/>
      <c r="J484" s="505"/>
      <c r="K484" s="506"/>
    </row>
    <row r="485" spans="1:11">
      <c r="A485" s="219"/>
      <c r="B485" s="218"/>
      <c r="C485" s="218"/>
      <c r="D485" s="218"/>
      <c r="E485" s="218"/>
      <c r="F485" s="504"/>
      <c r="G485" s="504"/>
      <c r="H485" s="505"/>
      <c r="I485" s="505"/>
      <c r="J485" s="505"/>
      <c r="K485" s="506"/>
    </row>
    <row r="486" spans="1:11">
      <c r="A486" s="219"/>
      <c r="B486" s="218"/>
      <c r="C486" s="218"/>
      <c r="D486" s="218"/>
      <c r="E486" s="218"/>
      <c r="F486" s="504"/>
      <c r="G486" s="504"/>
      <c r="H486" s="505"/>
      <c r="I486" s="505"/>
      <c r="J486" s="505"/>
      <c r="K486" s="506"/>
    </row>
    <row r="487" spans="1:11">
      <c r="A487" s="219"/>
      <c r="B487" s="218"/>
      <c r="C487" s="218"/>
      <c r="D487" s="218"/>
      <c r="E487" s="218"/>
      <c r="F487" s="504"/>
      <c r="G487" s="504"/>
      <c r="H487" s="505"/>
      <c r="I487" s="505"/>
      <c r="J487" s="505"/>
      <c r="K487" s="506"/>
    </row>
    <row r="488" spans="1:11">
      <c r="A488" s="219"/>
      <c r="B488" s="218"/>
      <c r="C488" s="218"/>
      <c r="D488" s="218"/>
      <c r="E488" s="218"/>
      <c r="F488" s="504"/>
      <c r="G488" s="504"/>
      <c r="H488" s="505"/>
      <c r="I488" s="505"/>
      <c r="J488" s="505"/>
      <c r="K488" s="506"/>
    </row>
    <row r="489" spans="1:11">
      <c r="A489" s="219"/>
      <c r="B489" s="218"/>
      <c r="C489" s="218"/>
      <c r="D489" s="218"/>
      <c r="E489" s="218"/>
      <c r="F489" s="504"/>
      <c r="G489" s="504"/>
      <c r="H489" s="505"/>
      <c r="I489" s="505"/>
      <c r="J489" s="505"/>
      <c r="K489" s="506"/>
    </row>
    <row r="490" spans="1:11">
      <c r="A490" s="219"/>
      <c r="B490" s="218"/>
      <c r="C490" s="218"/>
      <c r="D490" s="218"/>
      <c r="E490" s="218"/>
      <c r="F490" s="504"/>
      <c r="G490" s="504"/>
      <c r="H490" s="505"/>
      <c r="I490" s="505"/>
      <c r="J490" s="505"/>
      <c r="K490" s="506"/>
    </row>
    <row r="491" spans="1:11">
      <c r="A491" s="222"/>
      <c r="B491" s="218"/>
      <c r="C491" s="218"/>
      <c r="D491" s="218"/>
      <c r="E491" s="218"/>
      <c r="F491" s="218"/>
      <c r="G491" s="218"/>
      <c r="H491" s="219"/>
      <c r="I491" s="219"/>
      <c r="J491" s="219"/>
      <c r="K491" s="219"/>
    </row>
    <row r="492" spans="1:11">
      <c r="A492" s="222"/>
      <c r="B492" s="218"/>
      <c r="C492" s="218"/>
      <c r="D492" s="218"/>
      <c r="E492" s="218"/>
      <c r="F492" s="218"/>
      <c r="G492" s="218"/>
      <c r="H492" s="219"/>
      <c r="I492" s="219"/>
      <c r="J492" s="219"/>
      <c r="K492" s="219"/>
    </row>
    <row r="493" spans="1:11">
      <c r="A493" s="222"/>
      <c r="B493" s="218"/>
      <c r="C493" s="218"/>
      <c r="D493" s="218"/>
      <c r="E493" s="218"/>
      <c r="F493" s="218"/>
      <c r="G493" s="218"/>
      <c r="H493" s="219"/>
      <c r="I493" s="219"/>
      <c r="J493" s="219"/>
      <c r="K493" s="219"/>
    </row>
    <row r="494" spans="1:11">
      <c r="A494" s="222"/>
      <c r="B494" s="218"/>
      <c r="C494" s="218"/>
      <c r="D494" s="218"/>
      <c r="E494" s="218"/>
      <c r="F494" s="218"/>
      <c r="G494" s="218"/>
      <c r="H494" s="219"/>
      <c r="I494" s="219"/>
      <c r="J494" s="219"/>
      <c r="K494" s="219"/>
    </row>
    <row r="495" spans="1:11">
      <c r="A495" s="222"/>
      <c r="B495" s="218"/>
      <c r="C495" s="218"/>
      <c r="D495" s="218"/>
      <c r="E495" s="218"/>
      <c r="F495" s="218"/>
      <c r="G495" s="218"/>
      <c r="H495" s="219"/>
      <c r="I495" s="219"/>
      <c r="J495" s="219"/>
      <c r="K495" s="219"/>
    </row>
    <row r="496" spans="1:11">
      <c r="A496" s="222"/>
      <c r="B496" s="218"/>
      <c r="C496" s="218"/>
      <c r="D496" s="218"/>
      <c r="E496" s="218"/>
      <c r="F496" s="218"/>
      <c r="G496" s="218"/>
      <c r="H496" s="219"/>
      <c r="I496" s="219"/>
      <c r="J496" s="219"/>
      <c r="K496" s="219"/>
    </row>
    <row r="497" spans="1:11">
      <c r="A497" s="222"/>
      <c r="B497" s="218"/>
      <c r="C497" s="218"/>
      <c r="D497" s="218"/>
      <c r="E497" s="218"/>
      <c r="F497" s="218"/>
      <c r="G497" s="218"/>
      <c r="H497" s="219"/>
      <c r="I497" s="219"/>
      <c r="J497" s="219"/>
      <c r="K497" s="219"/>
    </row>
    <row r="498" spans="1:11">
      <c r="A498" s="222"/>
      <c r="B498" s="218"/>
      <c r="C498" s="218"/>
      <c r="D498" s="218"/>
      <c r="E498" s="218"/>
      <c r="F498" s="218"/>
      <c r="G498" s="218"/>
      <c r="H498" s="219"/>
      <c r="I498" s="219"/>
      <c r="J498" s="219"/>
      <c r="K498" s="219"/>
    </row>
  </sheetData>
  <mergeCells count="1">
    <mergeCell ref="I5:J5"/>
  </mergeCells>
  <pageMargins left="0.74803149606299213" right="0.74803149606299213" top="0.98425196850393704" bottom="0.98425196850393704" header="0.51181102362204722" footer="0.51181102362204722"/>
  <pageSetup paperSize="9" scale="69" orientation="landscape" r:id="rId1"/>
  <headerFooter alignWithMargins="0">
    <oddFooter>&amp;RRegulatory Accounts - M tables 2010-11 v1.2&amp;L&amp;1#&amp;"Arial"&amp;11&amp;K000000SW Internal Commercial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2"/>
  <dimension ref="B1:D12"/>
  <sheetViews>
    <sheetView zoomScaleNormal="100" workbookViewId="0">
      <selection activeCell="C5" sqref="C5"/>
    </sheetView>
  </sheetViews>
  <sheetFormatPr defaultColWidth="8.81640625" defaultRowHeight="12.5"/>
  <cols>
    <col min="1" max="1" width="3.7265625" customWidth="1"/>
    <col min="2" max="2" width="13.81640625" bestFit="1" customWidth="1"/>
  </cols>
  <sheetData>
    <row r="1" spans="2:4">
      <c r="C1" s="67"/>
    </row>
    <row r="2" spans="2:4">
      <c r="B2" s="67" t="s">
        <v>1058</v>
      </c>
      <c r="C2" s="67" t="s">
        <v>1059</v>
      </c>
      <c r="D2" s="67"/>
    </row>
    <row r="3" spans="2:4">
      <c r="B3" s="67" t="s">
        <v>1060</v>
      </c>
      <c r="C3" s="67" t="s">
        <v>1061</v>
      </c>
      <c r="D3" s="67"/>
    </row>
    <row r="4" spans="2:4">
      <c r="B4" s="67" t="s">
        <v>1062</v>
      </c>
      <c r="C4" s="67" t="s">
        <v>1063</v>
      </c>
      <c r="D4" s="67"/>
    </row>
    <row r="5" spans="2:4">
      <c r="B5" s="67" t="s">
        <v>1064</v>
      </c>
      <c r="C5" s="270" t="s">
        <v>561</v>
      </c>
      <c r="D5" s="67"/>
    </row>
    <row r="6" spans="2:4">
      <c r="B6" s="67" t="s">
        <v>1065</v>
      </c>
      <c r="C6" s="270" t="s">
        <v>71</v>
      </c>
      <c r="D6" s="67"/>
    </row>
    <row r="7" spans="2:4">
      <c r="B7" s="67" t="s">
        <v>1066</v>
      </c>
      <c r="C7" s="270" t="s">
        <v>562</v>
      </c>
      <c r="D7" s="67"/>
    </row>
    <row r="8" spans="2:4">
      <c r="B8" s="67" t="s">
        <v>1067</v>
      </c>
      <c r="C8" s="270" t="s">
        <v>1068</v>
      </c>
      <c r="D8" s="67"/>
    </row>
    <row r="9" spans="2:4">
      <c r="B9" s="67" t="s">
        <v>1069</v>
      </c>
      <c r="C9" s="270" t="s">
        <v>1070</v>
      </c>
      <c r="D9" s="67"/>
    </row>
    <row r="10" spans="2:4">
      <c r="B10" s="67" t="s">
        <v>1071</v>
      </c>
      <c r="C10" s="270" t="s">
        <v>1072</v>
      </c>
      <c r="D10" s="67"/>
    </row>
    <row r="11" spans="2:4">
      <c r="B11" s="67" t="s">
        <v>1073</v>
      </c>
      <c r="C11" s="459" t="s">
        <v>1074</v>
      </c>
      <c r="D11" s="67"/>
    </row>
    <row r="12" spans="2:4">
      <c r="B12" s="67" t="s">
        <v>1075</v>
      </c>
      <c r="C12" s="459" t="s">
        <v>1076</v>
      </c>
    </row>
  </sheetData>
  <phoneticPr fontId="0" type="noConversion"/>
  <pageMargins left="0.7" right="0.7" top="0.75" bottom="0.75" header="0.3" footer="0.3"/>
  <pageSetup paperSize="8" orientation="landscape" r:id="rId1"/>
  <headerFooter>
    <oddFooter>&amp;RRegulatory Accounts - M tables 2010-11 v1.2&amp;L&amp;1#&amp;"Arial"&amp;11&amp;K000000SW Internal Commercial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L39"/>
  <sheetViews>
    <sheetView tabSelected="1" zoomScale="145" zoomScaleNormal="145" zoomScaleSheetLayoutView="100" workbookViewId="0">
      <selection activeCell="I34" sqref="I34"/>
    </sheetView>
  </sheetViews>
  <sheetFormatPr defaultColWidth="8.81640625" defaultRowHeight="12.5"/>
  <cols>
    <col min="1" max="1" width="5.7265625" style="26" customWidth="1"/>
    <col min="2" max="2" width="52.453125" bestFit="1" customWidth="1"/>
    <col min="3" max="3" width="9.26953125" bestFit="1" customWidth="1"/>
    <col min="4" max="4" width="6.26953125" customWidth="1"/>
    <col min="5" max="5" width="6.7265625" customWidth="1"/>
    <col min="6" max="11" width="10.7265625" customWidth="1"/>
  </cols>
  <sheetData>
    <row r="2" spans="1:12" ht="15.5">
      <c r="A2" s="25" t="s">
        <v>64</v>
      </c>
    </row>
    <row r="3" spans="1:12" ht="15.5">
      <c r="A3" s="25" t="s">
        <v>65</v>
      </c>
    </row>
    <row r="4" spans="1:12" ht="15.5">
      <c r="A4" s="59"/>
    </row>
    <row r="5" spans="1:12" s="10" customFormat="1" ht="13">
      <c r="A5" s="49" t="s">
        <v>66</v>
      </c>
      <c r="B5" s="38" t="s">
        <v>67</v>
      </c>
      <c r="C5" s="39" t="s">
        <v>68</v>
      </c>
      <c r="D5" s="39" t="s">
        <v>69</v>
      </c>
      <c r="E5" s="39" t="s">
        <v>70</v>
      </c>
      <c r="F5" s="838" t="s">
        <v>71</v>
      </c>
      <c r="G5" s="839"/>
      <c r="H5" s="840"/>
      <c r="I5" s="841" t="str">
        <f>reportyear</f>
        <v>2019-20</v>
      </c>
      <c r="J5" s="842"/>
      <c r="K5" s="842"/>
      <c r="L5" s="67"/>
    </row>
    <row r="6" spans="1:12" s="10" customFormat="1" ht="15" customHeight="1">
      <c r="A6" s="50"/>
      <c r="B6" s="158"/>
      <c r="C6" s="42" t="s">
        <v>72</v>
      </c>
      <c r="D6" s="42"/>
      <c r="E6" s="45" t="s">
        <v>73</v>
      </c>
      <c r="F6" s="44" t="s">
        <v>74</v>
      </c>
      <c r="G6" s="508" t="s">
        <v>75</v>
      </c>
      <c r="H6" s="508" t="s">
        <v>76</v>
      </c>
      <c r="I6" s="508" t="s">
        <v>74</v>
      </c>
      <c r="J6" s="508" t="s">
        <v>77</v>
      </c>
      <c r="K6" s="508" t="s">
        <v>76</v>
      </c>
      <c r="L6" s="67"/>
    </row>
    <row r="7" spans="1:12" s="10" customFormat="1">
      <c r="A7" s="28">
        <v>1.1000000000000001</v>
      </c>
      <c r="B7" s="167" t="s">
        <v>78</v>
      </c>
      <c r="C7" s="168" t="s">
        <v>79</v>
      </c>
      <c r="D7" s="34" t="s">
        <v>80</v>
      </c>
      <c r="E7" s="34" t="s">
        <v>81</v>
      </c>
      <c r="F7" s="7">
        <f>+'M7'!Q17</f>
        <v>1216.896</v>
      </c>
      <c r="G7" s="141">
        <v>2.597</v>
      </c>
      <c r="H7" s="29">
        <f t="shared" ref="H7:H14" si="0">SUM(F7:G7)</f>
        <v>1219.4929999999999</v>
      </c>
      <c r="I7" s="7">
        <f>+'M7'!T17</f>
        <v>1254.3879999999999</v>
      </c>
      <c r="J7" s="141">
        <v>2.1339999999999999</v>
      </c>
      <c r="K7" s="29">
        <f t="shared" ref="K7:K14" si="1">SUM(I7:J7)</f>
        <v>1256.5219999999999</v>
      </c>
      <c r="L7" s="67"/>
    </row>
    <row r="8" spans="1:12" s="10" customFormat="1">
      <c r="A8" s="23">
        <v>1.2</v>
      </c>
      <c r="B8" s="6" t="s">
        <v>82</v>
      </c>
      <c r="C8" s="843" t="s">
        <v>83</v>
      </c>
      <c r="D8" s="34" t="s">
        <v>80</v>
      </c>
      <c r="E8" s="34" t="s">
        <v>81</v>
      </c>
      <c r="F8" s="141">
        <f>-428.872+0.723</f>
        <v>-428.149</v>
      </c>
      <c r="G8" s="141">
        <v>-2.3069999999999999</v>
      </c>
      <c r="H8" s="7">
        <f t="shared" si="0"/>
        <v>-430.45600000000002</v>
      </c>
      <c r="I8" s="141">
        <v>-419.84</v>
      </c>
      <c r="J8" s="141">
        <v>-1.9750000000000001</v>
      </c>
      <c r="K8" s="7">
        <f t="shared" si="1"/>
        <v>-421.815</v>
      </c>
      <c r="L8" s="67"/>
    </row>
    <row r="9" spans="1:12" s="10" customFormat="1">
      <c r="A9" s="23" t="s">
        <v>84</v>
      </c>
      <c r="B9" s="6" t="s">
        <v>85</v>
      </c>
      <c r="C9" s="844"/>
      <c r="D9" s="34" t="s">
        <v>80</v>
      </c>
      <c r="E9" s="34" t="s">
        <v>81</v>
      </c>
      <c r="F9" s="141">
        <f>-146.943-0.723</f>
        <v>-147.66600000000003</v>
      </c>
      <c r="G9" s="141">
        <v>0</v>
      </c>
      <c r="H9" s="7">
        <f t="shared" si="0"/>
        <v>-147.66600000000003</v>
      </c>
      <c r="I9" s="141">
        <v>-166.869</v>
      </c>
      <c r="J9" s="141">
        <v>0</v>
      </c>
      <c r="K9" s="7">
        <f t="shared" si="1"/>
        <v>-166.869</v>
      </c>
      <c r="L9" s="67"/>
    </row>
    <row r="10" spans="1:12" s="10" customFormat="1">
      <c r="A10" s="23" t="s">
        <v>86</v>
      </c>
      <c r="B10" s="6" t="s">
        <v>87</v>
      </c>
      <c r="C10" s="844"/>
      <c r="D10" s="34" t="s">
        <v>80</v>
      </c>
      <c r="E10" s="34" t="s">
        <v>81</v>
      </c>
      <c r="F10" s="141">
        <v>-243.78</v>
      </c>
      <c r="G10" s="141">
        <v>0</v>
      </c>
      <c r="H10" s="7">
        <f t="shared" si="0"/>
        <v>-243.78</v>
      </c>
      <c r="I10" s="141">
        <v>-253.43799999999999</v>
      </c>
      <c r="J10" s="141">
        <v>0</v>
      </c>
      <c r="K10" s="7">
        <f t="shared" si="1"/>
        <v>-253.43799999999999</v>
      </c>
      <c r="L10" s="67"/>
    </row>
    <row r="11" spans="1:12" s="10" customFormat="1">
      <c r="A11" s="23" t="s">
        <v>88</v>
      </c>
      <c r="B11" s="6" t="s">
        <v>89</v>
      </c>
      <c r="C11" s="844"/>
      <c r="D11" s="34" t="s">
        <v>80</v>
      </c>
      <c r="E11" s="34" t="s">
        <v>81</v>
      </c>
      <c r="F11" s="141">
        <v>-128.19999999999999</v>
      </c>
      <c r="G11" s="141">
        <v>0</v>
      </c>
      <c r="H11" s="7">
        <f t="shared" si="0"/>
        <v>-128.19999999999999</v>
      </c>
      <c r="I11" s="141">
        <v>-131.4</v>
      </c>
      <c r="J11" s="141">
        <v>0</v>
      </c>
      <c r="K11" s="7">
        <f t="shared" si="1"/>
        <v>-131.4</v>
      </c>
      <c r="L11" s="67"/>
    </row>
    <row r="12" spans="1:12" s="10" customFormat="1">
      <c r="A12" s="23" t="s">
        <v>90</v>
      </c>
      <c r="B12" s="6" t="s">
        <v>91</v>
      </c>
      <c r="C12" s="844"/>
      <c r="D12" s="34" t="s">
        <v>80</v>
      </c>
      <c r="E12" s="34" t="s">
        <v>81</v>
      </c>
      <c r="F12" s="141">
        <v>-4.0149999999999997</v>
      </c>
      <c r="G12" s="141">
        <v>0</v>
      </c>
      <c r="H12" s="7">
        <f t="shared" si="0"/>
        <v>-4.0149999999999997</v>
      </c>
      <c r="I12" s="141">
        <f>-4.087+0.001</f>
        <v>-4.0859999999999994</v>
      </c>
      <c r="J12" s="141">
        <v>0</v>
      </c>
      <c r="K12" s="7">
        <f t="shared" si="1"/>
        <v>-4.0859999999999994</v>
      </c>
      <c r="L12" s="67"/>
    </row>
    <row r="13" spans="1:12" s="10" customFormat="1">
      <c r="A13" s="23" t="s">
        <v>92</v>
      </c>
      <c r="B13" s="6" t="s">
        <v>93</v>
      </c>
      <c r="C13" s="845"/>
      <c r="D13" s="34" t="s">
        <v>80</v>
      </c>
      <c r="E13" s="34" t="s">
        <v>81</v>
      </c>
      <c r="F13" s="141">
        <v>0.98599999999999999</v>
      </c>
      <c r="G13" s="141">
        <v>0</v>
      </c>
      <c r="H13" s="7">
        <f t="shared" si="0"/>
        <v>0.98599999999999999</v>
      </c>
      <c r="I13" s="141">
        <v>0.98599999999999999</v>
      </c>
      <c r="J13" s="141">
        <v>0</v>
      </c>
      <c r="K13" s="7">
        <f t="shared" si="1"/>
        <v>0.98599999999999999</v>
      </c>
      <c r="L13" s="67"/>
    </row>
    <row r="14" spans="1:12" s="10" customFormat="1">
      <c r="A14" s="23" t="s">
        <v>94</v>
      </c>
      <c r="B14" s="6" t="s">
        <v>95</v>
      </c>
      <c r="C14" s="168" t="s">
        <v>96</v>
      </c>
      <c r="D14" s="34" t="s">
        <v>80</v>
      </c>
      <c r="E14" s="34" t="s">
        <v>81</v>
      </c>
      <c r="F14" s="141">
        <v>0.93</v>
      </c>
      <c r="G14" s="141">
        <v>0</v>
      </c>
      <c r="H14" s="7">
        <f t="shared" si="0"/>
        <v>0.93</v>
      </c>
      <c r="I14" s="141">
        <v>1.2190000000000001</v>
      </c>
      <c r="J14" s="141">
        <v>0</v>
      </c>
      <c r="K14" s="7">
        <f t="shared" si="1"/>
        <v>1.2190000000000001</v>
      </c>
      <c r="L14" s="67"/>
    </row>
    <row r="15" spans="1:12" s="10" customFormat="1">
      <c r="A15" s="23" t="s">
        <v>97</v>
      </c>
      <c r="B15" s="6" t="s">
        <v>98</v>
      </c>
      <c r="C15" s="168" t="s">
        <v>99</v>
      </c>
      <c r="D15" s="34" t="s">
        <v>80</v>
      </c>
      <c r="E15" s="34" t="s">
        <v>100</v>
      </c>
      <c r="F15" s="7">
        <f t="shared" ref="F15:K15" si="2">SUM(F7:F14)</f>
        <v>267.00199999999995</v>
      </c>
      <c r="G15" s="7">
        <f t="shared" si="2"/>
        <v>0.29000000000000004</v>
      </c>
      <c r="H15" s="7">
        <f t="shared" si="2"/>
        <v>267.29199999999992</v>
      </c>
      <c r="I15" s="7">
        <f t="shared" si="2"/>
        <v>280.95999999999998</v>
      </c>
      <c r="J15" s="7">
        <f t="shared" si="2"/>
        <v>0.15899999999999981</v>
      </c>
      <c r="K15" s="7">
        <f t="shared" si="2"/>
        <v>281.11899999999986</v>
      </c>
      <c r="L15" s="67"/>
    </row>
    <row r="16" spans="1:12" s="10" customFormat="1">
      <c r="A16" s="23" t="s">
        <v>101</v>
      </c>
      <c r="B16" s="6" t="s">
        <v>102</v>
      </c>
      <c r="C16" s="168" t="s">
        <v>103</v>
      </c>
      <c r="D16" s="34" t="s">
        <v>80</v>
      </c>
      <c r="E16" s="34" t="s">
        <v>81</v>
      </c>
      <c r="F16" s="141"/>
      <c r="G16" s="141">
        <v>0</v>
      </c>
      <c r="H16" s="7">
        <f>SUM(F16:G16)</f>
        <v>0</v>
      </c>
      <c r="I16" s="141">
        <v>0</v>
      </c>
      <c r="J16" s="141">
        <v>0</v>
      </c>
      <c r="K16" s="7">
        <f>SUM(I16:J16)</f>
        <v>0</v>
      </c>
      <c r="L16" s="67"/>
    </row>
    <row r="17" spans="1:12" s="10" customFormat="1">
      <c r="A17" s="23" t="s">
        <v>104</v>
      </c>
      <c r="B17" s="6" t="s">
        <v>105</v>
      </c>
      <c r="C17" s="168" t="s">
        <v>106</v>
      </c>
      <c r="D17" s="34" t="s">
        <v>80</v>
      </c>
      <c r="E17" s="34" t="s">
        <v>81</v>
      </c>
      <c r="F17" s="141">
        <v>-148.226</v>
      </c>
      <c r="G17" s="141">
        <v>0</v>
      </c>
      <c r="H17" s="7">
        <f>SUM(F17:G17)</f>
        <v>-148.226</v>
      </c>
      <c r="I17" s="141">
        <v>-146.30199999999999</v>
      </c>
      <c r="J17" s="141">
        <v>0</v>
      </c>
      <c r="K17" s="7">
        <f>SUM(I17:J17)</f>
        <v>-146.30199999999999</v>
      </c>
      <c r="L17" s="67"/>
    </row>
    <row r="18" spans="1:12" s="10" customFormat="1">
      <c r="A18" s="23" t="s">
        <v>107</v>
      </c>
      <c r="B18" s="6" t="s">
        <v>108</v>
      </c>
      <c r="C18" s="168" t="s">
        <v>109</v>
      </c>
      <c r="D18" s="34" t="s">
        <v>80</v>
      </c>
      <c r="E18" s="34" t="s">
        <v>100</v>
      </c>
      <c r="F18" s="7">
        <f t="shared" ref="F18:K18" si="3">F15+SUM(F16:F17)</f>
        <v>118.77599999999995</v>
      </c>
      <c r="G18" s="7">
        <f t="shared" si="3"/>
        <v>0.29000000000000004</v>
      </c>
      <c r="H18" s="7">
        <f t="shared" si="3"/>
        <v>119.06599999999992</v>
      </c>
      <c r="I18" s="7">
        <f t="shared" si="3"/>
        <v>134.65799999999999</v>
      </c>
      <c r="J18" s="7">
        <f t="shared" si="3"/>
        <v>0.15899999999999981</v>
      </c>
      <c r="K18" s="7">
        <f t="shared" si="3"/>
        <v>134.81699999999987</v>
      </c>
      <c r="L18" s="67"/>
    </row>
    <row r="19" spans="1:12" s="10" customFormat="1">
      <c r="A19" s="23" t="s">
        <v>110</v>
      </c>
      <c r="B19" s="6" t="s">
        <v>111</v>
      </c>
      <c r="C19" s="168" t="s">
        <v>112</v>
      </c>
      <c r="D19" s="34" t="s">
        <v>80</v>
      </c>
      <c r="E19" s="34" t="s">
        <v>81</v>
      </c>
      <c r="F19" s="141">
        <v>-2.9649999999999999</v>
      </c>
      <c r="G19" s="141">
        <v>0</v>
      </c>
      <c r="H19" s="7">
        <f>SUM(F19:G19)</f>
        <v>-2.9649999999999999</v>
      </c>
      <c r="I19" s="141">
        <f>-12.171+0.001</f>
        <v>-12.17</v>
      </c>
      <c r="J19" s="141">
        <v>0</v>
      </c>
      <c r="K19" s="7">
        <f>SUM(I19:J19)</f>
        <v>-12.17</v>
      </c>
      <c r="L19" s="67"/>
    </row>
    <row r="20" spans="1:12" s="10" customFormat="1">
      <c r="A20" s="23" t="s">
        <v>113</v>
      </c>
      <c r="B20" s="6" t="s">
        <v>114</v>
      </c>
      <c r="C20" s="168" t="s">
        <v>115</v>
      </c>
      <c r="D20" s="34" t="s">
        <v>80</v>
      </c>
      <c r="E20" s="34" t="s">
        <v>81</v>
      </c>
      <c r="F20" s="141">
        <v>-16.701000000000001</v>
      </c>
      <c r="G20" s="141">
        <v>-5.5E-2</v>
      </c>
      <c r="H20" s="7">
        <f>SUM(F20:G20)</f>
        <v>-16.756</v>
      </c>
      <c r="I20" s="141">
        <f>-61.776</f>
        <v>-61.776000000000003</v>
      </c>
      <c r="J20" s="141">
        <v>-0.03</v>
      </c>
      <c r="K20" s="7">
        <f>SUM(I20:J20)</f>
        <v>-61.806000000000004</v>
      </c>
      <c r="L20" s="67"/>
    </row>
    <row r="21" spans="1:12" s="10" customFormat="1">
      <c r="A21" s="23" t="s">
        <v>116</v>
      </c>
      <c r="B21" s="6" t="s">
        <v>117</v>
      </c>
      <c r="C21" s="168" t="s">
        <v>118</v>
      </c>
      <c r="D21" s="34" t="s">
        <v>80</v>
      </c>
      <c r="E21" s="34" t="s">
        <v>100</v>
      </c>
      <c r="F21" s="7">
        <f t="shared" ref="F21:K21" si="4">+F18+SUM(F19:F20)</f>
        <v>99.109999999999957</v>
      </c>
      <c r="G21" s="7">
        <f t="shared" si="4"/>
        <v>0.23500000000000004</v>
      </c>
      <c r="H21" s="7">
        <f t="shared" si="4"/>
        <v>99.344999999999914</v>
      </c>
      <c r="I21" s="7">
        <f t="shared" si="4"/>
        <v>60.711999999999989</v>
      </c>
      <c r="J21" s="7">
        <f t="shared" si="4"/>
        <v>0.12899999999999981</v>
      </c>
      <c r="K21" s="7">
        <f t="shared" si="4"/>
        <v>60.840999999999866</v>
      </c>
      <c r="L21" s="67"/>
    </row>
    <row r="22" spans="1:12" s="10" customFormat="1">
      <c r="A22" s="23">
        <v>1.1599999999999999</v>
      </c>
      <c r="B22" s="6" t="s">
        <v>119</v>
      </c>
      <c r="C22" s="168" t="s">
        <v>120</v>
      </c>
      <c r="D22" s="34" t="s">
        <v>80</v>
      </c>
      <c r="E22" s="34" t="s">
        <v>81</v>
      </c>
      <c r="F22" s="141"/>
      <c r="G22" s="141"/>
      <c r="H22" s="7">
        <f>SUM(F22:G22)</f>
        <v>0</v>
      </c>
      <c r="I22" s="141"/>
      <c r="J22" s="141"/>
      <c r="K22" s="7">
        <f>SUM(I22:J22)</f>
        <v>0</v>
      </c>
      <c r="L22" s="67"/>
    </row>
    <row r="23" spans="1:12" s="10" customFormat="1">
      <c r="A23" s="23">
        <v>1.17</v>
      </c>
      <c r="B23" s="6" t="s">
        <v>121</v>
      </c>
      <c r="C23" s="168" t="s">
        <v>122</v>
      </c>
      <c r="D23" s="34" t="s">
        <v>80</v>
      </c>
      <c r="E23" s="34" t="s">
        <v>100</v>
      </c>
      <c r="F23" s="7">
        <f t="shared" ref="F23:K23" si="5">+F21+F22</f>
        <v>99.109999999999957</v>
      </c>
      <c r="G23" s="7">
        <f t="shared" si="5"/>
        <v>0.23500000000000004</v>
      </c>
      <c r="H23" s="7">
        <f t="shared" si="5"/>
        <v>99.344999999999914</v>
      </c>
      <c r="I23" s="7">
        <f t="shared" si="5"/>
        <v>60.711999999999989</v>
      </c>
      <c r="J23" s="7">
        <f t="shared" si="5"/>
        <v>0.12899999999999981</v>
      </c>
      <c r="K23" s="7">
        <f t="shared" si="5"/>
        <v>60.840999999999866</v>
      </c>
      <c r="L23" s="67"/>
    </row>
    <row r="24" spans="1:12" s="10" customFormat="1">
      <c r="A24" s="23">
        <v>1.18</v>
      </c>
      <c r="B24" s="6" t="s">
        <v>123</v>
      </c>
      <c r="C24" s="168" t="s">
        <v>124</v>
      </c>
      <c r="D24" s="34" t="s">
        <v>80</v>
      </c>
      <c r="E24" s="34" t="s">
        <v>81</v>
      </c>
      <c r="F24" s="141"/>
      <c r="G24" s="141"/>
      <c r="H24" s="7">
        <f>SUM(F24:G24)</f>
        <v>0</v>
      </c>
      <c r="I24" s="141"/>
      <c r="J24" s="141"/>
      <c r="K24" s="7">
        <f>SUM(I24:J24)</f>
        <v>0</v>
      </c>
      <c r="L24" s="67"/>
    </row>
    <row r="25" spans="1:12" s="10" customFormat="1">
      <c r="A25" s="23">
        <v>1.19</v>
      </c>
      <c r="B25" s="6" t="s">
        <v>125</v>
      </c>
      <c r="C25" s="168" t="s">
        <v>126</v>
      </c>
      <c r="D25" s="34" t="s">
        <v>80</v>
      </c>
      <c r="E25" s="34" t="s">
        <v>100</v>
      </c>
      <c r="F25" s="7">
        <f t="shared" ref="F25:K25" si="6">SUM(F23:F24)</f>
        <v>99.109999999999957</v>
      </c>
      <c r="G25" s="7">
        <f t="shared" si="6"/>
        <v>0.23500000000000004</v>
      </c>
      <c r="H25" s="7">
        <f t="shared" si="6"/>
        <v>99.344999999999914</v>
      </c>
      <c r="I25" s="7">
        <f t="shared" si="6"/>
        <v>60.711999999999989</v>
      </c>
      <c r="J25" s="7">
        <f t="shared" si="6"/>
        <v>0.12899999999999981</v>
      </c>
      <c r="K25" s="7">
        <f t="shared" si="6"/>
        <v>60.840999999999866</v>
      </c>
      <c r="L25" s="67"/>
    </row>
    <row r="26" spans="1:12">
      <c r="A26" s="30"/>
      <c r="B26" s="9"/>
      <c r="C26" s="9"/>
      <c r="D26" s="9"/>
      <c r="E26" s="9"/>
      <c r="F26" s="8"/>
      <c r="G26" s="8"/>
      <c r="H26" s="8"/>
      <c r="I26" s="8"/>
      <c r="J26" s="8"/>
      <c r="K26" s="8"/>
      <c r="L26" s="8"/>
    </row>
    <row r="27" spans="1:12" hidden="1">
      <c r="B27" s="169" t="s">
        <v>127</v>
      </c>
      <c r="C27" s="9"/>
      <c r="D27" s="169"/>
      <c r="E27" s="169"/>
    </row>
    <row r="28" spans="1:12" hidden="1">
      <c r="B28" s="169" t="s">
        <v>128</v>
      </c>
      <c r="C28" s="9"/>
      <c r="D28" s="169"/>
      <c r="E28" s="169"/>
    </row>
    <row r="29" spans="1:12" hidden="1">
      <c r="B29" s="169" t="s">
        <v>129</v>
      </c>
      <c r="C29" s="9"/>
      <c r="D29" s="169"/>
      <c r="E29" s="169"/>
    </row>
    <row r="30" spans="1:12" hidden="1">
      <c r="B30" s="169" t="s">
        <v>130</v>
      </c>
      <c r="C30" s="9"/>
      <c r="D30" s="169"/>
      <c r="E30" s="169"/>
    </row>
    <row r="31" spans="1:12">
      <c r="C31" s="9"/>
      <c r="I31" s="67">
        <f>80/I8</f>
        <v>-0.19054878048780488</v>
      </c>
    </row>
    <row r="32" spans="1:12">
      <c r="C32" s="9"/>
    </row>
    <row r="33" spans="3:9">
      <c r="C33" s="9"/>
    </row>
    <row r="34" spans="3:9">
      <c r="C34" s="9"/>
      <c r="I34">
        <f>243/510</f>
        <v>0.47647058823529409</v>
      </c>
    </row>
    <row r="35" spans="3:9">
      <c r="C35" s="9"/>
    </row>
    <row r="36" spans="3:9">
      <c r="C36" s="9"/>
    </row>
    <row r="37" spans="3:9">
      <c r="C37" s="9"/>
    </row>
    <row r="38" spans="3:9">
      <c r="C38" s="9"/>
    </row>
    <row r="39" spans="3:9">
      <c r="C39" s="9"/>
    </row>
  </sheetData>
  <mergeCells count="3">
    <mergeCell ref="F5:H5"/>
    <mergeCell ref="I5:K5"/>
    <mergeCell ref="C8:C1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0" orientation="landscape" r:id="rId1"/>
  <headerFooter>
    <oddFooter>&amp;RRegulatory Accounts - M tables 2010-11 v1.2&amp;L&amp;1#&amp;"Arial"&amp;11&amp;K000000SW Internal Commercial</oddFooter>
  </headerFooter>
  <ignoredErrors>
    <ignoredError sqref="A9:A2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K57"/>
  <sheetViews>
    <sheetView zoomScaleNormal="100" zoomScaleSheetLayoutView="100" workbookViewId="0">
      <selection activeCell="M27" sqref="M27"/>
    </sheetView>
  </sheetViews>
  <sheetFormatPr defaultColWidth="8.81640625" defaultRowHeight="12.5"/>
  <cols>
    <col min="1" max="1" width="5.7265625" style="22" customWidth="1"/>
    <col min="2" max="2" width="50.453125" customWidth="1"/>
    <col min="3" max="3" width="14.1796875" customWidth="1"/>
    <col min="4" max="4" width="5.1796875" bestFit="1" customWidth="1"/>
    <col min="5" max="5" width="6.7265625" customWidth="1"/>
    <col min="6" max="7" width="10.7265625" customWidth="1"/>
    <col min="8" max="8" width="10.7265625" style="5" customWidth="1"/>
    <col min="9" max="10" width="10.7265625" customWidth="1"/>
    <col min="11" max="11" width="10.7265625" style="5" customWidth="1"/>
  </cols>
  <sheetData>
    <row r="1" spans="1:11" ht="15.5">
      <c r="A1" s="21"/>
    </row>
    <row r="2" spans="1:11" ht="15.5">
      <c r="A2" s="25" t="s">
        <v>64</v>
      </c>
      <c r="B2" s="1"/>
      <c r="C2" s="1"/>
      <c r="D2" s="1"/>
      <c r="E2" s="1"/>
    </row>
    <row r="3" spans="1:11" ht="15.5">
      <c r="A3" s="25" t="s">
        <v>131</v>
      </c>
    </row>
    <row r="4" spans="1:11" ht="15.5">
      <c r="B4" s="3"/>
      <c r="C4" s="3"/>
      <c r="D4" s="3"/>
      <c r="E4" s="3"/>
    </row>
    <row r="5" spans="1:11" s="10" customFormat="1" ht="13">
      <c r="A5" s="37" t="s">
        <v>66</v>
      </c>
      <c r="B5" s="38" t="s">
        <v>67</v>
      </c>
      <c r="C5" s="39" t="s">
        <v>68</v>
      </c>
      <c r="D5" s="39" t="s">
        <v>69</v>
      </c>
      <c r="E5" s="39" t="s">
        <v>70</v>
      </c>
      <c r="F5" s="841" t="s">
        <v>71</v>
      </c>
      <c r="G5" s="842"/>
      <c r="H5" s="842"/>
      <c r="I5" s="841" t="str">
        <f>reportyear</f>
        <v>2019-20</v>
      </c>
      <c r="J5" s="842"/>
      <c r="K5" s="842"/>
    </row>
    <row r="6" spans="1:11" s="10" customFormat="1" ht="13">
      <c r="A6" s="41"/>
      <c r="B6" s="158"/>
      <c r="C6" s="42" t="s">
        <v>72</v>
      </c>
      <c r="D6" s="42"/>
      <c r="E6" s="45" t="s">
        <v>73</v>
      </c>
      <c r="F6" s="27" t="s">
        <v>74</v>
      </c>
      <c r="G6" s="27" t="s">
        <v>77</v>
      </c>
      <c r="H6" s="27" t="s">
        <v>76</v>
      </c>
      <c r="I6" s="27" t="s">
        <v>74</v>
      </c>
      <c r="J6" s="27" t="s">
        <v>77</v>
      </c>
      <c r="K6" s="27" t="s">
        <v>76</v>
      </c>
    </row>
    <row r="7" spans="1:11" ht="14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11" s="10" customFormat="1" ht="13">
      <c r="A8" s="48"/>
      <c r="B8" s="46" t="s">
        <v>132</v>
      </c>
      <c r="C8" s="4"/>
      <c r="D8" s="4"/>
      <c r="E8" s="4"/>
      <c r="F8" s="4"/>
      <c r="G8" s="4"/>
      <c r="H8" s="4"/>
      <c r="I8" s="4"/>
      <c r="J8" s="4"/>
      <c r="K8" s="4"/>
    </row>
    <row r="9" spans="1:11" s="10" customFormat="1">
      <c r="A9" s="28" t="s">
        <v>133</v>
      </c>
      <c r="B9" s="47" t="s">
        <v>134</v>
      </c>
      <c r="C9" s="34" t="s">
        <v>135</v>
      </c>
      <c r="D9" s="34" t="s">
        <v>80</v>
      </c>
      <c r="E9" s="34" t="s">
        <v>81</v>
      </c>
      <c r="F9" s="141">
        <v>6200.259</v>
      </c>
      <c r="G9" s="141">
        <v>0</v>
      </c>
      <c r="H9" s="7">
        <f>SUM(F9:G9)</f>
        <v>6200.259</v>
      </c>
      <c r="I9" s="141">
        <v>6470.7659999999996</v>
      </c>
      <c r="J9" s="141">
        <v>0</v>
      </c>
      <c r="K9" s="7">
        <f>SUM(I9:J9)</f>
        <v>6470.7659999999996</v>
      </c>
    </row>
    <row r="10" spans="1:11" s="10" customFormat="1">
      <c r="A10" s="23" t="s">
        <v>136</v>
      </c>
      <c r="B10" s="6" t="s">
        <v>137</v>
      </c>
      <c r="C10" s="34" t="s">
        <v>138</v>
      </c>
      <c r="D10" s="34" t="s">
        <v>80</v>
      </c>
      <c r="E10" s="34" t="s">
        <v>81</v>
      </c>
      <c r="F10" s="141">
        <v>0</v>
      </c>
      <c r="G10" s="141">
        <v>0</v>
      </c>
      <c r="H10" s="7">
        <f>SUM(F10:G10)</f>
        <v>0</v>
      </c>
      <c r="I10" s="141">
        <v>0</v>
      </c>
      <c r="J10" s="141">
        <v>0</v>
      </c>
      <c r="K10" s="7">
        <f>SUM(I10:J10)</f>
        <v>0</v>
      </c>
    </row>
    <row r="11" spans="1:11" s="10" customFormat="1">
      <c r="A11" s="28" t="s">
        <v>139</v>
      </c>
      <c r="B11" s="6" t="s">
        <v>140</v>
      </c>
      <c r="C11" s="34" t="s">
        <v>141</v>
      </c>
      <c r="D11" s="34" t="s">
        <v>80</v>
      </c>
      <c r="E11" s="34" t="s">
        <v>81</v>
      </c>
      <c r="F11" s="141">
        <v>37.643000000000001</v>
      </c>
      <c r="G11" s="141">
        <v>0</v>
      </c>
      <c r="H11" s="7">
        <f>SUM(F11:G11)</f>
        <v>37.643000000000001</v>
      </c>
      <c r="I11" s="141">
        <v>37.643000000000001</v>
      </c>
      <c r="J11" s="141">
        <v>0</v>
      </c>
      <c r="K11" s="7">
        <f>SUM(I11:J11)</f>
        <v>37.643000000000001</v>
      </c>
    </row>
    <row r="12" spans="1:11" s="10" customFormat="1">
      <c r="A12" s="23" t="s">
        <v>142</v>
      </c>
      <c r="B12" s="6" t="s">
        <v>143</v>
      </c>
      <c r="C12" s="34" t="s">
        <v>144</v>
      </c>
      <c r="D12" s="34" t="s">
        <v>80</v>
      </c>
      <c r="E12" s="34" t="s">
        <v>100</v>
      </c>
      <c r="F12" s="7">
        <f t="shared" ref="F12:K12" si="0">SUM(F9:F11)</f>
        <v>6237.902</v>
      </c>
      <c r="G12" s="7">
        <f t="shared" si="0"/>
        <v>0</v>
      </c>
      <c r="H12" s="7">
        <f t="shared" si="0"/>
        <v>6237.902</v>
      </c>
      <c r="I12" s="7">
        <f t="shared" si="0"/>
        <v>6508.4089999999997</v>
      </c>
      <c r="J12" s="7">
        <f t="shared" si="0"/>
        <v>0</v>
      </c>
      <c r="K12" s="7">
        <f t="shared" si="0"/>
        <v>6508.4089999999997</v>
      </c>
    </row>
    <row r="13" spans="1:11" s="10" customFormat="1">
      <c r="A13" s="66"/>
      <c r="B13" s="67"/>
      <c r="C13" s="67"/>
      <c r="D13" s="67"/>
      <c r="E13" s="67"/>
      <c r="F13" s="67"/>
      <c r="G13" s="67"/>
      <c r="H13" s="67"/>
      <c r="I13" s="67"/>
      <c r="J13" s="67"/>
      <c r="K13" s="67"/>
    </row>
    <row r="14" spans="1:11" s="10" customFormat="1" ht="13">
      <c r="A14" s="48"/>
      <c r="B14" s="46" t="s">
        <v>145</v>
      </c>
      <c r="C14" s="12"/>
      <c r="D14" s="12"/>
      <c r="E14" s="12"/>
      <c r="F14" s="12"/>
      <c r="G14" s="12"/>
      <c r="H14" s="12"/>
      <c r="I14" s="12"/>
      <c r="J14" s="12"/>
      <c r="K14" s="12"/>
    </row>
    <row r="15" spans="1:11" s="10" customFormat="1">
      <c r="A15" s="23" t="s">
        <v>146</v>
      </c>
      <c r="B15" s="6" t="s">
        <v>147</v>
      </c>
      <c r="C15" s="34" t="s">
        <v>148</v>
      </c>
      <c r="D15" s="34" t="s">
        <v>80</v>
      </c>
      <c r="E15" s="34" t="s">
        <v>81</v>
      </c>
      <c r="F15" s="7">
        <f>'M11'!G7</f>
        <v>2.89</v>
      </c>
      <c r="G15" s="141">
        <v>0</v>
      </c>
      <c r="H15" s="7">
        <f t="shared" ref="H15:H21" si="1">SUM(F15:G15)</f>
        <v>2.89</v>
      </c>
      <c r="I15" s="7">
        <f>'M11'!H7</f>
        <v>3.2639999999999998</v>
      </c>
      <c r="J15" s="141">
        <v>0</v>
      </c>
      <c r="K15" s="7">
        <f t="shared" ref="K15:K21" si="2">SUM(I15:J15)</f>
        <v>3.2639999999999998</v>
      </c>
    </row>
    <row r="16" spans="1:11" s="10" customFormat="1">
      <c r="A16" s="23" t="s">
        <v>149</v>
      </c>
      <c r="B16" s="6" t="s">
        <v>150</v>
      </c>
      <c r="C16" s="34" t="s">
        <v>151</v>
      </c>
      <c r="D16" s="34" t="s">
        <v>80</v>
      </c>
      <c r="E16" s="34" t="s">
        <v>81</v>
      </c>
      <c r="F16" s="141">
        <v>110.557</v>
      </c>
      <c r="G16" s="141">
        <v>0.34100000000000003</v>
      </c>
      <c r="H16" s="7">
        <f t="shared" si="1"/>
        <v>110.898</v>
      </c>
      <c r="I16" s="141">
        <v>131.83500000000001</v>
      </c>
      <c r="J16" s="141">
        <v>0</v>
      </c>
      <c r="K16" s="7">
        <f t="shared" si="2"/>
        <v>131.83500000000001</v>
      </c>
    </row>
    <row r="17" spans="1:11" s="10" customFormat="1">
      <c r="A17" s="23" t="s">
        <v>152</v>
      </c>
      <c r="B17" s="6" t="s">
        <v>153</v>
      </c>
      <c r="C17" s="34" t="s">
        <v>154</v>
      </c>
      <c r="D17" s="34" t="s">
        <v>80</v>
      </c>
      <c r="E17" s="34" t="s">
        <v>81</v>
      </c>
      <c r="F17" s="177">
        <v>36.088000000000001</v>
      </c>
      <c r="G17" s="141">
        <v>1E-3</v>
      </c>
      <c r="H17" s="7">
        <f t="shared" si="1"/>
        <v>36.088999999999999</v>
      </c>
      <c r="I17" s="141">
        <v>116.643</v>
      </c>
      <c r="J17" s="141">
        <v>1E-3</v>
      </c>
      <c r="K17" s="7">
        <f t="shared" si="2"/>
        <v>116.64400000000001</v>
      </c>
    </row>
    <row r="18" spans="1:11" s="10" customFormat="1">
      <c r="A18" s="23" t="s">
        <v>155</v>
      </c>
      <c r="B18" s="6" t="s">
        <v>156</v>
      </c>
      <c r="C18" s="34" t="s">
        <v>157</v>
      </c>
      <c r="D18" s="34" t="s">
        <v>80</v>
      </c>
      <c r="E18" s="34" t="s">
        <v>81</v>
      </c>
      <c r="F18" s="177">
        <v>274.8</v>
      </c>
      <c r="G18" s="141">
        <v>0</v>
      </c>
      <c r="H18" s="7">
        <f t="shared" si="1"/>
        <v>274.8</v>
      </c>
      <c r="I18" s="141">
        <v>274.8</v>
      </c>
      <c r="J18" s="141">
        <v>0</v>
      </c>
      <c r="K18" s="7">
        <f t="shared" si="2"/>
        <v>274.8</v>
      </c>
    </row>
    <row r="19" spans="1:11" s="10" customFormat="1">
      <c r="A19" s="23" t="s">
        <v>158</v>
      </c>
      <c r="B19" s="6" t="s">
        <v>159</v>
      </c>
      <c r="C19" s="34"/>
      <c r="D19" s="34" t="s">
        <v>80</v>
      </c>
      <c r="E19" s="34" t="s">
        <v>81</v>
      </c>
      <c r="F19" s="141">
        <v>0</v>
      </c>
      <c r="G19" s="141">
        <v>0</v>
      </c>
      <c r="H19" s="7">
        <f t="shared" si="1"/>
        <v>0</v>
      </c>
      <c r="I19" s="141">
        <v>0</v>
      </c>
      <c r="J19" s="141">
        <v>0</v>
      </c>
      <c r="K19" s="7">
        <f t="shared" si="2"/>
        <v>0</v>
      </c>
    </row>
    <row r="20" spans="1:11" s="10" customFormat="1">
      <c r="A20" s="23" t="s">
        <v>160</v>
      </c>
      <c r="B20" s="6" t="s">
        <v>161</v>
      </c>
      <c r="C20" s="34"/>
      <c r="D20" s="34" t="s">
        <v>80</v>
      </c>
      <c r="E20" s="34" t="s">
        <v>81</v>
      </c>
      <c r="F20" s="141">
        <v>40.488999999999997</v>
      </c>
      <c r="G20" s="141">
        <v>0</v>
      </c>
      <c r="H20" s="7">
        <f t="shared" si="1"/>
        <v>40.488999999999997</v>
      </c>
      <c r="I20" s="141">
        <v>37.289000000000001</v>
      </c>
      <c r="J20" s="141">
        <v>0</v>
      </c>
      <c r="K20" s="7">
        <f t="shared" si="2"/>
        <v>37.289000000000001</v>
      </c>
    </row>
    <row r="21" spans="1:11" s="10" customFormat="1">
      <c r="A21" s="23" t="s">
        <v>162</v>
      </c>
      <c r="B21" s="6" t="s">
        <v>163</v>
      </c>
      <c r="C21" s="34" t="s">
        <v>164</v>
      </c>
      <c r="D21" s="34" t="s">
        <v>80</v>
      </c>
      <c r="E21" s="34" t="s">
        <v>81</v>
      </c>
      <c r="F21" s="141">
        <v>0</v>
      </c>
      <c r="G21" s="141">
        <v>0</v>
      </c>
      <c r="H21" s="7">
        <f t="shared" si="1"/>
        <v>0</v>
      </c>
      <c r="I21" s="141">
        <v>0</v>
      </c>
      <c r="J21" s="141">
        <v>0</v>
      </c>
      <c r="K21" s="7">
        <f t="shared" si="2"/>
        <v>0</v>
      </c>
    </row>
    <row r="22" spans="1:11" s="10" customFormat="1">
      <c r="A22" s="23" t="s">
        <v>165</v>
      </c>
      <c r="B22" s="6" t="s">
        <v>166</v>
      </c>
      <c r="C22" s="34" t="s">
        <v>167</v>
      </c>
      <c r="D22" s="34" t="s">
        <v>80</v>
      </c>
      <c r="E22" s="34" t="s">
        <v>100</v>
      </c>
      <c r="F22" s="7">
        <f t="shared" ref="F22:K22" si="3">SUM(F15:F21)</f>
        <v>464.82400000000001</v>
      </c>
      <c r="G22" s="7">
        <f t="shared" si="3"/>
        <v>0.34200000000000003</v>
      </c>
      <c r="H22" s="7">
        <f t="shared" si="3"/>
        <v>465.166</v>
      </c>
      <c r="I22" s="7">
        <f>SUM(I15:I21)</f>
        <v>563.83100000000002</v>
      </c>
      <c r="J22" s="7">
        <f t="shared" si="3"/>
        <v>1E-3</v>
      </c>
      <c r="K22" s="7">
        <f t="shared" si="3"/>
        <v>563.83199999999999</v>
      </c>
    </row>
    <row r="23" spans="1:11" s="10" customFormat="1">
      <c r="A23" s="66"/>
      <c r="B23" s="67"/>
      <c r="C23" s="67"/>
      <c r="D23" s="67"/>
      <c r="E23" s="67"/>
      <c r="F23" s="170"/>
      <c r="G23" s="170"/>
      <c r="H23" s="170"/>
      <c r="I23" s="170"/>
      <c r="J23" s="170"/>
      <c r="K23" s="170"/>
    </row>
    <row r="24" spans="1:11" s="10" customFormat="1" ht="13">
      <c r="A24" s="48"/>
      <c r="B24" s="46" t="s">
        <v>168</v>
      </c>
      <c r="C24" s="12"/>
      <c r="D24" s="12"/>
      <c r="E24" s="12"/>
      <c r="F24" s="12"/>
      <c r="G24" s="12"/>
      <c r="H24" s="12"/>
      <c r="I24" s="12"/>
      <c r="J24" s="12"/>
      <c r="K24" s="12"/>
    </row>
    <row r="25" spans="1:11" s="10" customFormat="1">
      <c r="A25" s="58" t="s">
        <v>169</v>
      </c>
      <c r="B25" s="63" t="s">
        <v>170</v>
      </c>
      <c r="C25" s="34" t="s">
        <v>171</v>
      </c>
      <c r="D25" s="34" t="s">
        <v>80</v>
      </c>
      <c r="E25" s="34" t="s">
        <v>81</v>
      </c>
      <c r="F25" s="141">
        <v>0</v>
      </c>
      <c r="G25" s="141">
        <v>0</v>
      </c>
      <c r="H25" s="7">
        <f t="shared" ref="H25:H30" si="4">SUM(F25:G25)</f>
        <v>0</v>
      </c>
      <c r="I25" s="141">
        <v>0</v>
      </c>
      <c r="J25" s="141">
        <v>0</v>
      </c>
      <c r="K25" s="7">
        <f t="shared" ref="K25:K30" si="5">SUM(I25:J25)</f>
        <v>0</v>
      </c>
    </row>
    <row r="26" spans="1:11" s="10" customFormat="1">
      <c r="A26" s="58" t="s">
        <v>172</v>
      </c>
      <c r="B26" s="57" t="s">
        <v>173</v>
      </c>
      <c r="C26" s="34" t="s">
        <v>174</v>
      </c>
      <c r="D26" s="34" t="s">
        <v>80</v>
      </c>
      <c r="E26" s="34" t="s">
        <v>81</v>
      </c>
      <c r="F26" s="177">
        <v>-164.03399999999999</v>
      </c>
      <c r="G26" s="141">
        <v>0</v>
      </c>
      <c r="H26" s="7">
        <f t="shared" si="4"/>
        <v>-164.03399999999999</v>
      </c>
      <c r="I26" s="141">
        <v>-191.43799999999999</v>
      </c>
      <c r="J26" s="141">
        <v>0</v>
      </c>
      <c r="K26" s="7">
        <f t="shared" si="5"/>
        <v>-191.43799999999999</v>
      </c>
    </row>
    <row r="27" spans="1:11" s="10" customFormat="1">
      <c r="A27" s="58" t="s">
        <v>175</v>
      </c>
      <c r="B27" s="57" t="s">
        <v>176</v>
      </c>
      <c r="C27" s="34" t="s">
        <v>177</v>
      </c>
      <c r="D27" s="34" t="s">
        <v>80</v>
      </c>
      <c r="E27" s="34" t="s">
        <v>81</v>
      </c>
      <c r="F27" s="177">
        <v>-379.10899999999998</v>
      </c>
      <c r="G27" s="141">
        <v>7.0919999999999996</v>
      </c>
      <c r="H27" s="7">
        <f t="shared" si="4"/>
        <v>-372.017</v>
      </c>
      <c r="I27" s="177">
        <f>-393.977+0.001</f>
        <v>-393.976</v>
      </c>
      <c r="J27" s="141">
        <v>7.5910000000000002</v>
      </c>
      <c r="K27" s="7">
        <f t="shared" si="5"/>
        <v>-386.38499999999999</v>
      </c>
    </row>
    <row r="28" spans="1:11" s="10" customFormat="1">
      <c r="A28" s="23" t="s">
        <v>178</v>
      </c>
      <c r="B28" s="6" t="s">
        <v>179</v>
      </c>
      <c r="C28" s="34" t="s">
        <v>180</v>
      </c>
      <c r="D28" s="34" t="s">
        <v>80</v>
      </c>
      <c r="E28" s="34" t="s">
        <v>81</v>
      </c>
      <c r="F28" s="141">
        <v>-0.5</v>
      </c>
      <c r="G28" s="141">
        <v>0</v>
      </c>
      <c r="H28" s="7">
        <f t="shared" si="4"/>
        <v>-0.5</v>
      </c>
      <c r="I28" s="141">
        <v>-0.5</v>
      </c>
      <c r="J28" s="141">
        <v>0</v>
      </c>
      <c r="K28" s="7">
        <f t="shared" si="5"/>
        <v>-0.5</v>
      </c>
    </row>
    <row r="29" spans="1:11" s="10" customFormat="1">
      <c r="A29" s="23" t="s">
        <v>181</v>
      </c>
      <c r="B29" s="6" t="s">
        <v>182</v>
      </c>
      <c r="C29" s="34" t="s">
        <v>183</v>
      </c>
      <c r="D29" s="34" t="s">
        <v>80</v>
      </c>
      <c r="E29" s="34" t="s">
        <v>81</v>
      </c>
      <c r="F29" s="141">
        <v>0.86599999999999999</v>
      </c>
      <c r="G29" s="141">
        <v>0</v>
      </c>
      <c r="H29" s="7">
        <f t="shared" si="4"/>
        <v>0.86599999999999999</v>
      </c>
      <c r="I29" s="141">
        <v>1.05</v>
      </c>
      <c r="J29" s="141">
        <v>0</v>
      </c>
      <c r="K29" s="7">
        <f t="shared" si="5"/>
        <v>1.05</v>
      </c>
    </row>
    <row r="30" spans="1:11" s="10" customFormat="1">
      <c r="A30" s="23" t="s">
        <v>184</v>
      </c>
      <c r="B30" s="6" t="s">
        <v>185</v>
      </c>
      <c r="C30" s="34" t="s">
        <v>186</v>
      </c>
      <c r="D30" s="34" t="s">
        <v>80</v>
      </c>
      <c r="E30" s="34" t="s">
        <v>81</v>
      </c>
      <c r="F30" s="141">
        <v>0</v>
      </c>
      <c r="G30" s="141">
        <v>0</v>
      </c>
      <c r="H30" s="7">
        <f t="shared" si="4"/>
        <v>0</v>
      </c>
      <c r="I30" s="141">
        <v>0</v>
      </c>
      <c r="J30" s="141">
        <v>0</v>
      </c>
      <c r="K30" s="7">
        <f t="shared" si="5"/>
        <v>0</v>
      </c>
    </row>
    <row r="31" spans="1:11" s="10" customFormat="1">
      <c r="A31" s="23" t="s">
        <v>187</v>
      </c>
      <c r="B31" s="6" t="s">
        <v>188</v>
      </c>
      <c r="C31" s="34" t="s">
        <v>189</v>
      </c>
      <c r="D31" s="34" t="s">
        <v>80</v>
      </c>
      <c r="E31" s="34" t="s">
        <v>100</v>
      </c>
      <c r="F31" s="7">
        <f t="shared" ref="F31:K31" si="6">SUM(F25:F30)</f>
        <v>-542.77700000000004</v>
      </c>
      <c r="G31" s="7">
        <f t="shared" si="6"/>
        <v>7.0919999999999996</v>
      </c>
      <c r="H31" s="7">
        <f t="shared" si="6"/>
        <v>-535.68499999999995</v>
      </c>
      <c r="I31" s="7">
        <f t="shared" si="6"/>
        <v>-584.86400000000003</v>
      </c>
      <c r="J31" s="7">
        <f t="shared" si="6"/>
        <v>7.5910000000000002</v>
      </c>
      <c r="K31" s="7">
        <f t="shared" si="6"/>
        <v>-577.27300000000002</v>
      </c>
    </row>
    <row r="32" spans="1:11" s="10" customFormat="1">
      <c r="A32" s="23" t="s">
        <v>190</v>
      </c>
      <c r="B32" s="6" t="s">
        <v>191</v>
      </c>
      <c r="C32" s="34" t="s">
        <v>192</v>
      </c>
      <c r="D32" s="34" t="s">
        <v>80</v>
      </c>
      <c r="E32" s="34" t="s">
        <v>100</v>
      </c>
      <c r="F32" s="7">
        <f t="shared" ref="F32:K32" si="7">+F22+F31</f>
        <v>-77.953000000000031</v>
      </c>
      <c r="G32" s="7">
        <f t="shared" si="7"/>
        <v>7.4339999999999993</v>
      </c>
      <c r="H32" s="7">
        <f t="shared" si="7"/>
        <v>-70.518999999999949</v>
      </c>
      <c r="I32" s="7">
        <f t="shared" si="7"/>
        <v>-21.033000000000015</v>
      </c>
      <c r="J32" s="7">
        <f t="shared" si="7"/>
        <v>7.5920000000000005</v>
      </c>
      <c r="K32" s="7">
        <f t="shared" si="7"/>
        <v>-13.441000000000031</v>
      </c>
    </row>
    <row r="33" spans="1:11" s="10" customFormat="1">
      <c r="A33" s="23" t="s">
        <v>193</v>
      </c>
      <c r="B33" s="6" t="s">
        <v>194</v>
      </c>
      <c r="C33" s="6"/>
      <c r="D33" s="34" t="s">
        <v>80</v>
      </c>
      <c r="E33" s="34" t="s">
        <v>100</v>
      </c>
      <c r="F33" s="7">
        <f t="shared" ref="F33:K33" si="8">+F12+F22+F31</f>
        <v>6159.9489999999996</v>
      </c>
      <c r="G33" s="7">
        <f t="shared" si="8"/>
        <v>7.4339999999999993</v>
      </c>
      <c r="H33" s="7">
        <f t="shared" si="8"/>
        <v>6167.3829999999998</v>
      </c>
      <c r="I33" s="7">
        <f t="shared" si="8"/>
        <v>6487.3760000000002</v>
      </c>
      <c r="J33" s="7">
        <f t="shared" si="8"/>
        <v>7.5920000000000005</v>
      </c>
      <c r="K33" s="7">
        <f t="shared" si="8"/>
        <v>6494.9679999999998</v>
      </c>
    </row>
    <row r="34" spans="1:11" s="10" customFormat="1">
      <c r="A34" s="66"/>
      <c r="B34" s="67"/>
      <c r="C34" s="67"/>
      <c r="D34" s="67"/>
      <c r="E34" s="67"/>
      <c r="F34" s="12"/>
      <c r="G34" s="12"/>
      <c r="H34" s="12"/>
      <c r="I34" s="12"/>
      <c r="J34" s="12"/>
      <c r="K34" s="12"/>
    </row>
    <row r="35" spans="1:11" s="10" customFormat="1" ht="13">
      <c r="A35" s="48"/>
      <c r="B35" s="46" t="s">
        <v>195</v>
      </c>
      <c r="C35" s="170"/>
      <c r="D35" s="170"/>
      <c r="E35" s="170"/>
      <c r="F35" s="170"/>
      <c r="G35" s="170"/>
      <c r="H35" s="515"/>
      <c r="I35" s="170"/>
      <c r="J35" s="170"/>
      <c r="K35" s="515"/>
    </row>
    <row r="36" spans="1:11" s="10" customFormat="1">
      <c r="A36" s="23" t="s">
        <v>196</v>
      </c>
      <c r="B36" s="6" t="s">
        <v>179</v>
      </c>
      <c r="C36" s="34" t="s">
        <v>197</v>
      </c>
      <c r="D36" s="34" t="s">
        <v>80</v>
      </c>
      <c r="E36" s="34" t="s">
        <v>81</v>
      </c>
      <c r="F36" s="141">
        <v>-0.5</v>
      </c>
      <c r="G36" s="141">
        <v>0</v>
      </c>
      <c r="H36" s="7">
        <f>SUM(F36:G36)</f>
        <v>-0.5</v>
      </c>
      <c r="I36" s="141">
        <v>0</v>
      </c>
      <c r="J36" s="141">
        <v>0</v>
      </c>
      <c r="K36" s="7">
        <f>SUM(I36:J36)</f>
        <v>0</v>
      </c>
    </row>
    <row r="37" spans="1:11" s="10" customFormat="1">
      <c r="A37" s="23" t="s">
        <v>198</v>
      </c>
      <c r="B37" s="6" t="s">
        <v>199</v>
      </c>
      <c r="C37" s="34" t="s">
        <v>200</v>
      </c>
      <c r="D37" s="34" t="s">
        <v>80</v>
      </c>
      <c r="E37" s="34" t="s">
        <v>81</v>
      </c>
      <c r="F37" s="177">
        <v>-71.7</v>
      </c>
      <c r="G37" s="141">
        <v>0</v>
      </c>
      <c r="H37" s="7">
        <f>SUM(F37:G37)</f>
        <v>-71.7</v>
      </c>
      <c r="I37" s="177">
        <v>-61.1</v>
      </c>
      <c r="J37" s="141">
        <v>0</v>
      </c>
      <c r="K37" s="7">
        <f>SUM(I37:J37)</f>
        <v>-61.1</v>
      </c>
    </row>
    <row r="38" spans="1:11" s="10" customFormat="1">
      <c r="A38" s="23" t="s">
        <v>201</v>
      </c>
      <c r="B38" s="6" t="s">
        <v>188</v>
      </c>
      <c r="C38" s="34" t="s">
        <v>202</v>
      </c>
      <c r="D38" s="34" t="s">
        <v>80</v>
      </c>
      <c r="E38" s="34" t="s">
        <v>100</v>
      </c>
      <c r="F38" s="7">
        <f t="shared" ref="F38:K38" si="9">SUM(F36:F37)</f>
        <v>-72.2</v>
      </c>
      <c r="G38" s="7">
        <f t="shared" si="9"/>
        <v>0</v>
      </c>
      <c r="H38" s="7">
        <f t="shared" si="9"/>
        <v>-72.2</v>
      </c>
      <c r="I38" s="7">
        <f t="shared" si="9"/>
        <v>-61.1</v>
      </c>
      <c r="J38" s="7">
        <f t="shared" si="9"/>
        <v>0</v>
      </c>
      <c r="K38" s="7">
        <f t="shared" si="9"/>
        <v>-61.1</v>
      </c>
    </row>
    <row r="39" spans="1:11" s="10" customFormat="1">
      <c r="A39" s="66"/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1" s="10" customFormat="1" ht="13">
      <c r="A40" s="60"/>
      <c r="B40" s="46" t="s">
        <v>203</v>
      </c>
      <c r="C40" s="31"/>
      <c r="D40" s="31"/>
      <c r="E40" s="31"/>
      <c r="F40" s="12"/>
      <c r="G40" s="12"/>
      <c r="H40" s="12"/>
      <c r="I40" s="12"/>
      <c r="J40" s="12"/>
      <c r="K40" s="12"/>
    </row>
    <row r="41" spans="1:11" s="10" customFormat="1">
      <c r="A41" s="28" t="s">
        <v>204</v>
      </c>
      <c r="B41" s="47" t="s">
        <v>205</v>
      </c>
      <c r="C41" s="34" t="s">
        <v>206</v>
      </c>
      <c r="D41" s="34" t="s">
        <v>80</v>
      </c>
      <c r="E41" s="34" t="s">
        <v>81</v>
      </c>
      <c r="F41" s="141">
        <v>-404.45800000000003</v>
      </c>
      <c r="G41" s="141">
        <v>-1.097</v>
      </c>
      <c r="H41" s="7">
        <f>SUM(F41:G41)</f>
        <v>-405.55500000000001</v>
      </c>
      <c r="I41" s="141">
        <f>-466.235-0.001</f>
        <v>-466.23599999999999</v>
      </c>
      <c r="J41" s="141">
        <v>-1.1259999999999999</v>
      </c>
      <c r="K41" s="7">
        <f>SUM(I41:J41)</f>
        <v>-467.36199999999997</v>
      </c>
    </row>
    <row r="42" spans="1:11" s="10" customFormat="1">
      <c r="A42" s="23" t="s">
        <v>207</v>
      </c>
      <c r="B42" s="6" t="s">
        <v>208</v>
      </c>
      <c r="C42" s="34" t="s">
        <v>209</v>
      </c>
      <c r="D42" s="34" t="s">
        <v>80</v>
      </c>
      <c r="E42" s="34" t="s">
        <v>81</v>
      </c>
      <c r="F42" s="141">
        <v>-10.967000000000001</v>
      </c>
      <c r="G42" s="141">
        <v>0</v>
      </c>
      <c r="H42" s="7">
        <f>SUM(F42:G42)</f>
        <v>-10.967000000000001</v>
      </c>
      <c r="I42" s="141">
        <v>-10.975</v>
      </c>
      <c r="J42" s="141">
        <v>0</v>
      </c>
      <c r="K42" s="7">
        <f>SUM(I42:J42)</f>
        <v>-10.975</v>
      </c>
    </row>
    <row r="43" spans="1:11" s="10" customFormat="1">
      <c r="A43" s="23" t="s">
        <v>210</v>
      </c>
      <c r="B43" s="6" t="s">
        <v>211</v>
      </c>
      <c r="C43" s="34" t="s">
        <v>212</v>
      </c>
      <c r="D43" s="34" t="s">
        <v>80</v>
      </c>
      <c r="E43" s="34" t="s">
        <v>81</v>
      </c>
      <c r="F43" s="141">
        <v>0</v>
      </c>
      <c r="G43" s="141">
        <v>0</v>
      </c>
      <c r="H43" s="7">
        <f>SUM(F43:G43)</f>
        <v>0</v>
      </c>
      <c r="I43" s="141">
        <v>0</v>
      </c>
      <c r="J43" s="141">
        <v>0</v>
      </c>
      <c r="K43" s="7">
        <f>SUM(I43:J43)</f>
        <v>0</v>
      </c>
    </row>
    <row r="44" spans="1:11" s="10" customFormat="1">
      <c r="A44" s="23" t="s">
        <v>213</v>
      </c>
      <c r="B44" s="6" t="s">
        <v>214</v>
      </c>
      <c r="C44" s="34" t="s">
        <v>215</v>
      </c>
      <c r="D44" s="34" t="s">
        <v>80</v>
      </c>
      <c r="E44" s="34" t="s">
        <v>81</v>
      </c>
      <c r="F44" s="141">
        <v>-49.874000000000002</v>
      </c>
      <c r="G44" s="141">
        <v>0</v>
      </c>
      <c r="H44" s="7">
        <f>SUM(F44:G44)</f>
        <v>-49.874000000000002</v>
      </c>
      <c r="I44" s="141">
        <v>-46.146000000000001</v>
      </c>
      <c r="J44" s="141">
        <v>0</v>
      </c>
      <c r="K44" s="7">
        <f>SUM(I44:J44)</f>
        <v>-46.146000000000001</v>
      </c>
    </row>
    <row r="45" spans="1:11" s="10" customFormat="1" ht="12.75" customHeight="1">
      <c r="A45" s="23" t="s">
        <v>216</v>
      </c>
      <c r="B45" s="13" t="s">
        <v>217</v>
      </c>
      <c r="C45" s="34" t="s">
        <v>218</v>
      </c>
      <c r="D45" s="34" t="s">
        <v>80</v>
      </c>
      <c r="E45" s="34" t="s">
        <v>100</v>
      </c>
      <c r="F45" s="7">
        <f t="shared" ref="F45:K45" si="10">+F12+F22+F31+F38+SUM(F41:F44)</f>
        <v>5622.45</v>
      </c>
      <c r="G45" s="7">
        <f t="shared" si="10"/>
        <v>6.3369999999999997</v>
      </c>
      <c r="H45" s="7">
        <f t="shared" si="10"/>
        <v>5628.7870000000003</v>
      </c>
      <c r="I45" s="7">
        <f t="shared" si="10"/>
        <v>5902.9189999999999</v>
      </c>
      <c r="J45" s="7">
        <f>+J12+J22+J31+J38+SUM(J41:J44)</f>
        <v>6.4660000000000011</v>
      </c>
      <c r="K45" s="7">
        <f t="shared" si="10"/>
        <v>5909.3849999999993</v>
      </c>
    </row>
    <row r="46" spans="1:11" s="11" customFormat="1" ht="12.75" customHeight="1">
      <c r="A46" s="66"/>
      <c r="B46" s="14"/>
      <c r="C46" s="32"/>
      <c r="D46" s="32"/>
      <c r="E46" s="32"/>
      <c r="F46" s="15"/>
      <c r="G46" s="15"/>
      <c r="H46" s="15"/>
      <c r="I46" s="15"/>
      <c r="J46" s="15"/>
      <c r="K46" s="15"/>
    </row>
    <row r="47" spans="1:11" s="11" customFormat="1" ht="12.75" customHeight="1">
      <c r="A47" s="48"/>
      <c r="B47" s="46" t="s">
        <v>219</v>
      </c>
      <c r="C47" s="15"/>
      <c r="D47" s="15"/>
      <c r="E47" s="15"/>
      <c r="F47" s="15"/>
      <c r="G47" s="15"/>
      <c r="H47" s="15"/>
      <c r="I47" s="15"/>
      <c r="J47" s="15"/>
      <c r="K47" s="15"/>
    </row>
    <row r="48" spans="1:11" s="10" customFormat="1">
      <c r="A48" s="23" t="s">
        <v>220</v>
      </c>
      <c r="B48" s="6" t="s">
        <v>221</v>
      </c>
      <c r="C48" s="6"/>
      <c r="D48" s="34" t="s">
        <v>80</v>
      </c>
      <c r="E48" s="34" t="s">
        <v>81</v>
      </c>
      <c r="F48" s="141">
        <v>3708.6149999999998</v>
      </c>
      <c r="G48" s="141">
        <v>0</v>
      </c>
      <c r="H48" s="7">
        <f>SUM(F48:G48)</f>
        <v>3708.6149999999998</v>
      </c>
      <c r="I48" s="141">
        <v>3928.3719999999998</v>
      </c>
      <c r="J48" s="141">
        <v>0</v>
      </c>
      <c r="K48" s="7">
        <f>SUM(I48:J48)</f>
        <v>3928.3719999999998</v>
      </c>
    </row>
    <row r="49" spans="1:11" s="10" customFormat="1">
      <c r="A49" s="23" t="s">
        <v>222</v>
      </c>
      <c r="B49" s="6" t="s">
        <v>223</v>
      </c>
      <c r="C49" s="34" t="s">
        <v>224</v>
      </c>
      <c r="D49" s="34" t="s">
        <v>80</v>
      </c>
      <c r="E49" s="34" t="s">
        <v>81</v>
      </c>
      <c r="F49" s="141">
        <v>1780.405</v>
      </c>
      <c r="G49" s="141">
        <v>6.3369999999999997</v>
      </c>
      <c r="H49" s="7">
        <f>SUM(F49:G49)</f>
        <v>1786.742</v>
      </c>
      <c r="I49" s="141">
        <v>1841.117</v>
      </c>
      <c r="J49" s="141">
        <v>6.4660000000000002</v>
      </c>
      <c r="K49" s="7">
        <f>SUM(I49:J49)</f>
        <v>1847.5829999999999</v>
      </c>
    </row>
    <row r="50" spans="1:11" s="10" customFormat="1">
      <c r="A50" s="23" t="s">
        <v>225</v>
      </c>
      <c r="B50" s="6" t="s">
        <v>226</v>
      </c>
      <c r="C50" s="34" t="s">
        <v>227</v>
      </c>
      <c r="D50" s="34" t="s">
        <v>80</v>
      </c>
      <c r="E50" s="34" t="s">
        <v>81</v>
      </c>
      <c r="F50" s="141">
        <v>133.43</v>
      </c>
      <c r="G50" s="141">
        <v>0</v>
      </c>
      <c r="H50" s="7">
        <f>SUM(F50:G50)</f>
        <v>133.43</v>
      </c>
      <c r="I50" s="141">
        <v>133.43</v>
      </c>
      <c r="J50" s="141">
        <v>0</v>
      </c>
      <c r="K50" s="7">
        <f>SUM(I50:J50)</f>
        <v>133.43</v>
      </c>
    </row>
    <row r="51" spans="1:11" s="10" customFormat="1">
      <c r="A51" s="23" t="s">
        <v>228</v>
      </c>
      <c r="B51" s="6" t="s">
        <v>229</v>
      </c>
      <c r="C51" s="34" t="s">
        <v>230</v>
      </c>
      <c r="D51" s="34" t="s">
        <v>80</v>
      </c>
      <c r="E51" s="34" t="s">
        <v>100</v>
      </c>
      <c r="F51" s="7">
        <f t="shared" ref="F51:K51" si="11">SUM(F48:F50)</f>
        <v>5622.45</v>
      </c>
      <c r="G51" s="7">
        <f t="shared" si="11"/>
        <v>6.3369999999999997</v>
      </c>
      <c r="H51" s="7">
        <f t="shared" si="11"/>
        <v>5628.7870000000003</v>
      </c>
      <c r="I51" s="7">
        <f t="shared" si="11"/>
        <v>5902.9189999999999</v>
      </c>
      <c r="J51" s="7">
        <f t="shared" si="11"/>
        <v>6.4660000000000002</v>
      </c>
      <c r="K51" s="7">
        <f t="shared" si="11"/>
        <v>5909.3850000000002</v>
      </c>
    </row>
    <row r="52" spans="1:11">
      <c r="B52" s="2"/>
      <c r="C52" s="2"/>
      <c r="D52" s="2"/>
      <c r="E52" s="2"/>
    </row>
    <row r="53" spans="1:11">
      <c r="B53" s="2"/>
      <c r="C53" s="2"/>
      <c r="D53" s="2"/>
      <c r="E53" s="2"/>
      <c r="I53" s="725"/>
    </row>
    <row r="54" spans="1:11">
      <c r="B54" s="2"/>
      <c r="C54" s="2"/>
      <c r="D54" s="2"/>
      <c r="E54" s="2"/>
    </row>
    <row r="55" spans="1:11">
      <c r="I55" s="725"/>
      <c r="J55" s="725"/>
    </row>
    <row r="56" spans="1:11">
      <c r="B56" s="271"/>
      <c r="C56" s="272"/>
      <c r="I56" s="274"/>
      <c r="J56" s="274"/>
      <c r="K56" s="274"/>
    </row>
    <row r="57" spans="1:11">
      <c r="B57" s="273"/>
      <c r="C57" s="272"/>
      <c r="I57" s="273"/>
      <c r="J57" s="273"/>
      <c r="K57" s="273"/>
    </row>
  </sheetData>
  <mergeCells count="2">
    <mergeCell ref="F5:H5"/>
    <mergeCell ref="I5:K5"/>
  </mergeCells>
  <phoneticPr fontId="0" type="noConversion"/>
  <pageMargins left="0.74803149606299213" right="0.74803149606299213" top="0.79" bottom="0.79" header="0.51181102362204722" footer="0.51181102362204722"/>
  <pageSetup paperSize="9" scale="75" orientation="landscape" r:id="rId1"/>
  <headerFooter alignWithMargins="0">
    <oddFooter>&amp;RRegulatory Accounts - M tables 2010-11 v1.2&amp;L&amp;1#&amp;"Arial"&amp;11&amp;K000000SW Internal Commercial</oddFooter>
  </headerFooter>
  <ignoredErrors>
    <ignoredError sqref="A9:A12 A15:A22 A25:A33 A36:A38 A41:A45 A48:A51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pageSetUpPr fitToPage="1"/>
  </sheetPr>
  <dimension ref="A1:H35"/>
  <sheetViews>
    <sheetView zoomScaleNormal="100" zoomScaleSheetLayoutView="100" workbookViewId="0">
      <selection activeCell="H28" sqref="H28"/>
    </sheetView>
  </sheetViews>
  <sheetFormatPr defaultColWidth="8.81640625" defaultRowHeight="12.5"/>
  <cols>
    <col min="1" max="1" width="6.26953125" style="22" customWidth="1"/>
    <col min="2" max="2" width="38.1796875" bestFit="1" customWidth="1"/>
    <col min="3" max="3" width="9.453125" customWidth="1"/>
    <col min="4" max="4" width="6.453125" customWidth="1"/>
    <col min="5" max="5" width="6.1796875" customWidth="1"/>
    <col min="6" max="7" width="15.7265625" customWidth="1"/>
    <col min="8" max="8" width="74.453125" bestFit="1" customWidth="1"/>
  </cols>
  <sheetData>
    <row r="1" spans="1:8" ht="15.5">
      <c r="A1" s="25"/>
    </row>
    <row r="2" spans="1:8" ht="15.5">
      <c r="A2" s="25" t="s">
        <v>64</v>
      </c>
      <c r="B2" s="3"/>
      <c r="C2" s="3"/>
      <c r="D2" s="3"/>
      <c r="E2" s="3"/>
    </row>
    <row r="3" spans="1:8" ht="15.5">
      <c r="A3" s="25" t="s">
        <v>231</v>
      </c>
    </row>
    <row r="4" spans="1:8" ht="15.5">
      <c r="A4" s="25"/>
      <c r="H4" s="173"/>
    </row>
    <row r="5" spans="1:8" s="67" customFormat="1" ht="13">
      <c r="A5" s="37" t="s">
        <v>66</v>
      </c>
      <c r="B5" s="38" t="s">
        <v>67</v>
      </c>
      <c r="C5" s="39" t="s">
        <v>68</v>
      </c>
      <c r="D5" s="39" t="s">
        <v>69</v>
      </c>
      <c r="E5" s="39" t="s">
        <v>70</v>
      </c>
      <c r="F5" s="39" t="s">
        <v>232</v>
      </c>
      <c r="G5" s="39" t="s">
        <v>233</v>
      </c>
      <c r="H5" s="39" t="s">
        <v>234</v>
      </c>
    </row>
    <row r="6" spans="1:8" s="67" customFormat="1" ht="13">
      <c r="A6" s="41"/>
      <c r="B6" s="158"/>
      <c r="C6" s="42" t="s">
        <v>235</v>
      </c>
      <c r="D6" s="42"/>
      <c r="E6" s="45" t="s">
        <v>73</v>
      </c>
      <c r="F6" s="45"/>
      <c r="G6" s="45"/>
      <c r="H6" s="45"/>
    </row>
    <row r="7" spans="1:8">
      <c r="A7"/>
    </row>
    <row r="8" spans="1:8" s="67" customFormat="1" ht="13">
      <c r="A8" s="48"/>
      <c r="B8" s="46" t="s">
        <v>236</v>
      </c>
    </row>
    <row r="9" spans="1:8" s="67" customFormat="1">
      <c r="A9" s="23">
        <v>3.1</v>
      </c>
      <c r="B9" s="171" t="s">
        <v>98</v>
      </c>
      <c r="C9" s="120"/>
      <c r="D9" s="34" t="s">
        <v>80</v>
      </c>
      <c r="E9" s="34" t="s">
        <v>237</v>
      </c>
      <c r="F9" s="159">
        <v>254.9</v>
      </c>
      <c r="G9" s="159">
        <f>'M1'!I15</f>
        <v>280.95999999999998</v>
      </c>
      <c r="H9" s="160" t="s">
        <v>238</v>
      </c>
    </row>
    <row r="10" spans="1:8" s="67" customFormat="1">
      <c r="A10" s="23" t="s">
        <v>239</v>
      </c>
      <c r="B10" s="171" t="s">
        <v>240</v>
      </c>
      <c r="C10" s="120"/>
      <c r="D10" s="34" t="s">
        <v>80</v>
      </c>
      <c r="E10" s="34" t="s">
        <v>237</v>
      </c>
      <c r="F10" s="159">
        <v>85.7</v>
      </c>
      <c r="G10" s="159">
        <f>'M1'!I18</f>
        <v>134.65799999999999</v>
      </c>
      <c r="H10" s="160" t="s">
        <v>241</v>
      </c>
    </row>
    <row r="11" spans="1:8" s="67" customFormat="1">
      <c r="A11" s="23" t="s">
        <v>242</v>
      </c>
      <c r="B11" s="171" t="s">
        <v>243</v>
      </c>
      <c r="C11" s="120"/>
      <c r="D11" s="34" t="s">
        <v>80</v>
      </c>
      <c r="E11" s="34" t="s">
        <v>237</v>
      </c>
      <c r="F11" s="159">
        <v>-1361</v>
      </c>
      <c r="G11" s="159">
        <f>SUM('M1'!I8:I14)</f>
        <v>-973.42799999999988</v>
      </c>
      <c r="H11" s="160" t="s">
        <v>244</v>
      </c>
    </row>
    <row r="12" spans="1:8" s="67" customFormat="1">
      <c r="A12" s="23" t="s">
        <v>245</v>
      </c>
      <c r="B12" s="171" t="s">
        <v>246</v>
      </c>
      <c r="C12" s="120"/>
      <c r="D12" s="34" t="s">
        <v>80</v>
      </c>
      <c r="E12" s="34" t="s">
        <v>237</v>
      </c>
      <c r="F12" s="159">
        <v>-169.2</v>
      </c>
      <c r="G12" s="159">
        <f>'M1'!I17</f>
        <v>-146.30199999999999</v>
      </c>
      <c r="H12" s="160" t="s">
        <v>247</v>
      </c>
    </row>
    <row r="13" spans="1:8" s="67" customFormat="1">
      <c r="A13" s="23" t="s">
        <v>248</v>
      </c>
      <c r="B13" s="171" t="s">
        <v>249</v>
      </c>
      <c r="C13" s="120"/>
      <c r="D13" s="34" t="s">
        <v>80</v>
      </c>
      <c r="E13" s="34" t="s">
        <v>237</v>
      </c>
      <c r="F13" s="159">
        <v>-65.099999999999994</v>
      </c>
      <c r="G13" s="159">
        <f>SUM('M1'!I19:I20)</f>
        <v>-73.945999999999998</v>
      </c>
      <c r="H13" s="160" t="s">
        <v>250</v>
      </c>
    </row>
    <row r="14" spans="1:8" s="67" customFormat="1">
      <c r="A14" s="23" t="s">
        <v>251</v>
      </c>
      <c r="B14" s="171"/>
      <c r="C14" s="120"/>
      <c r="D14" s="34" t="s">
        <v>80</v>
      </c>
      <c r="E14" s="34" t="s">
        <v>237</v>
      </c>
      <c r="F14" s="159"/>
      <c r="G14" s="159"/>
      <c r="H14" s="160"/>
    </row>
    <row r="15" spans="1:8" s="67" customFormat="1">
      <c r="A15" s="23" t="s">
        <v>252</v>
      </c>
      <c r="B15" s="171"/>
      <c r="C15" s="120"/>
      <c r="D15" s="34" t="s">
        <v>80</v>
      </c>
      <c r="E15" s="34" t="s">
        <v>237</v>
      </c>
      <c r="F15" s="159"/>
      <c r="G15" s="159"/>
      <c r="H15" s="160"/>
    </row>
    <row r="16" spans="1:8" s="67" customFormat="1">
      <c r="A16" s="23" t="s">
        <v>253</v>
      </c>
      <c r="B16" s="171"/>
      <c r="C16" s="120"/>
      <c r="D16" s="34" t="s">
        <v>80</v>
      </c>
      <c r="E16" s="34" t="s">
        <v>237</v>
      </c>
      <c r="F16" s="159"/>
      <c r="G16" s="159"/>
      <c r="H16" s="160"/>
    </row>
    <row r="17" spans="1:8" s="67" customFormat="1">
      <c r="A17" s="23" t="s">
        <v>254</v>
      </c>
      <c r="B17" s="171"/>
      <c r="C17" s="120"/>
      <c r="D17" s="34" t="s">
        <v>80</v>
      </c>
      <c r="E17" s="34" t="s">
        <v>237</v>
      </c>
      <c r="F17" s="159"/>
      <c r="G17" s="159"/>
      <c r="H17" s="160"/>
    </row>
    <row r="18" spans="1:8" s="67" customFormat="1">
      <c r="A18" s="23" t="s">
        <v>255</v>
      </c>
      <c r="B18" s="171"/>
      <c r="C18" s="120"/>
      <c r="D18" s="34" t="s">
        <v>80</v>
      </c>
      <c r="E18" s="34" t="s">
        <v>237</v>
      </c>
      <c r="F18" s="159"/>
      <c r="G18" s="159"/>
      <c r="H18" s="160"/>
    </row>
    <row r="19" spans="1:8" s="67" customFormat="1" ht="13">
      <c r="A19" s="66"/>
      <c r="B19" s="161"/>
      <c r="C19" s="161"/>
      <c r="D19" s="161"/>
      <c r="E19" s="161"/>
      <c r="F19" s="162"/>
      <c r="H19" s="163"/>
    </row>
    <row r="20" spans="1:8" s="67" customFormat="1" ht="13">
      <c r="A20" s="48"/>
      <c r="B20" s="46" t="s">
        <v>256</v>
      </c>
    </row>
    <row r="21" spans="1:8" s="67" customFormat="1">
      <c r="A21" s="23" t="s">
        <v>257</v>
      </c>
      <c r="B21" s="171" t="s">
        <v>258</v>
      </c>
      <c r="C21" s="120"/>
      <c r="D21" s="34" t="s">
        <v>80</v>
      </c>
      <c r="E21" s="34" t="s">
        <v>237</v>
      </c>
      <c r="F21" s="159">
        <v>6395</v>
      </c>
      <c r="G21" s="159">
        <f>'M2'!I9</f>
        <v>6470.7659999999996</v>
      </c>
      <c r="H21" s="689" t="s">
        <v>259</v>
      </c>
    </row>
    <row r="22" spans="1:8" s="67" customFormat="1">
      <c r="A22" s="23" t="s">
        <v>260</v>
      </c>
      <c r="B22" s="171" t="s">
        <v>261</v>
      </c>
      <c r="C22" s="120"/>
      <c r="D22" s="34" t="s">
        <v>80</v>
      </c>
      <c r="E22" s="34" t="s">
        <v>237</v>
      </c>
      <c r="F22" s="159"/>
      <c r="G22" s="159">
        <f>'M2'!I26</f>
        <v>-191.43799999999999</v>
      </c>
      <c r="H22" s="689" t="s">
        <v>262</v>
      </c>
    </row>
    <row r="23" spans="1:8" s="67" customFormat="1">
      <c r="A23" s="23" t="s">
        <v>263</v>
      </c>
      <c r="B23" s="171" t="s">
        <v>161</v>
      </c>
      <c r="C23" s="120"/>
      <c r="D23" s="34" t="s">
        <v>80</v>
      </c>
      <c r="E23" s="34" t="s">
        <v>237</v>
      </c>
      <c r="F23" s="159"/>
      <c r="G23" s="159">
        <f>'M2'!I20</f>
        <v>37.289000000000001</v>
      </c>
      <c r="H23" s="689" t="s">
        <v>262</v>
      </c>
    </row>
    <row r="24" spans="1:8" s="67" customFormat="1">
      <c r="A24" s="23" t="s">
        <v>264</v>
      </c>
      <c r="B24" s="171" t="s">
        <v>150</v>
      </c>
      <c r="C24" s="120"/>
      <c r="D24" s="34" t="s">
        <v>80</v>
      </c>
      <c r="E24" s="34" t="s">
        <v>237</v>
      </c>
      <c r="F24" s="159">
        <v>98.9</v>
      </c>
      <c r="G24" s="159">
        <f>'M2'!I16</f>
        <v>131.83500000000001</v>
      </c>
      <c r="H24" s="689" t="s">
        <v>265</v>
      </c>
    </row>
    <row r="25" spans="1:8" s="67" customFormat="1">
      <c r="A25" s="23" t="s">
        <v>266</v>
      </c>
      <c r="B25" s="171" t="s">
        <v>267</v>
      </c>
      <c r="C25" s="120"/>
      <c r="D25" s="34" t="s">
        <v>80</v>
      </c>
      <c r="E25" s="34" t="s">
        <v>237</v>
      </c>
      <c r="F25" s="159">
        <v>-461</v>
      </c>
      <c r="G25" s="159">
        <f>'M2'!I27+'M2'!I37</f>
        <v>-455.07600000000002</v>
      </c>
      <c r="H25" s="689" t="s">
        <v>268</v>
      </c>
    </row>
    <row r="26" spans="1:8" s="67" customFormat="1">
      <c r="A26" s="23" t="s">
        <v>269</v>
      </c>
      <c r="B26" s="171" t="s">
        <v>270</v>
      </c>
      <c r="C26" s="120"/>
      <c r="D26" s="34" t="s">
        <v>80</v>
      </c>
      <c r="E26" s="34" t="s">
        <v>237</v>
      </c>
      <c r="F26" s="159"/>
      <c r="G26" s="159">
        <f>'M2'!I42</f>
        <v>-10.975</v>
      </c>
      <c r="H26" s="689" t="s">
        <v>262</v>
      </c>
    </row>
    <row r="27" spans="1:8" s="67" customFormat="1">
      <c r="A27" s="23" t="s">
        <v>271</v>
      </c>
      <c r="B27" s="171" t="s">
        <v>272</v>
      </c>
      <c r="C27" s="120"/>
      <c r="D27" s="34" t="s">
        <v>80</v>
      </c>
      <c r="E27" s="34" t="s">
        <v>237</v>
      </c>
      <c r="F27" s="159">
        <v>-0.5</v>
      </c>
      <c r="G27" s="159">
        <f>'M2'!I28+'M2'!I36</f>
        <v>-0.5</v>
      </c>
      <c r="H27" s="689"/>
    </row>
    <row r="28" spans="1:8" s="67" customFormat="1">
      <c r="A28" s="23" t="s">
        <v>273</v>
      </c>
      <c r="B28" s="171" t="s">
        <v>274</v>
      </c>
      <c r="C28" s="120"/>
      <c r="D28" s="34" t="s">
        <v>80</v>
      </c>
      <c r="E28" s="34" t="s">
        <v>237</v>
      </c>
      <c r="F28" s="159">
        <v>-426.2</v>
      </c>
      <c r="G28" s="159">
        <f>'M2'!I41</f>
        <v>-466.23599999999999</v>
      </c>
      <c r="H28" s="689" t="s">
        <v>275</v>
      </c>
    </row>
    <row r="29" spans="1:8">
      <c r="A29" s="23" t="s">
        <v>276</v>
      </c>
      <c r="B29" s="171"/>
      <c r="C29" s="120"/>
      <c r="D29" s="34" t="s">
        <v>80</v>
      </c>
      <c r="E29" s="34" t="s">
        <v>237</v>
      </c>
      <c r="F29" s="159"/>
      <c r="G29" s="159"/>
      <c r="H29" s="160"/>
    </row>
    <row r="30" spans="1:8">
      <c r="A30" s="23" t="s">
        <v>277</v>
      </c>
      <c r="B30" s="171"/>
      <c r="C30" s="120"/>
      <c r="D30" s="34" t="s">
        <v>80</v>
      </c>
      <c r="E30" s="34" t="s">
        <v>237</v>
      </c>
      <c r="F30" s="159"/>
      <c r="G30" s="159"/>
      <c r="H30" s="160"/>
    </row>
    <row r="33" spans="2:2" ht="13">
      <c r="B33" s="697"/>
    </row>
    <row r="34" spans="2:2" ht="13">
      <c r="B34" s="237"/>
    </row>
    <row r="35" spans="2:2" ht="13">
      <c r="B35" s="237"/>
    </row>
  </sheetData>
  <sheetProtection formatRows="0" insertColumns="0" selectLockedCells="1"/>
  <phoneticPr fontId="0" type="noConversion"/>
  <pageMargins left="0.74803149606299213" right="0.57999999999999996" top="0.98425196850393704" bottom="0.98425196850393704" header="0.51181102362204722" footer="0.51181102362204722"/>
  <pageSetup paperSize="9" scale="74" orientation="landscape" r:id="rId1"/>
  <headerFooter alignWithMargins="0">
    <oddFooter>&amp;RRegulatory Accounts - M tables 2010-11 v1.2&amp;L&amp;1#&amp;"Arial"&amp;11&amp;K000000SW Internal Commercial</oddFooter>
  </headerFooter>
  <ignoredErrors>
    <ignoredError sqref="A10:A15 A16:A18 A21:A3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I49"/>
  <sheetViews>
    <sheetView zoomScaleNormal="100" zoomScaleSheetLayoutView="100" workbookViewId="0">
      <selection activeCell="H10" sqref="H10"/>
    </sheetView>
  </sheetViews>
  <sheetFormatPr defaultColWidth="8.81640625" defaultRowHeight="12.5"/>
  <cols>
    <col min="1" max="1" width="5.81640625" style="180" bestFit="1" customWidth="1"/>
    <col min="2" max="2" width="63.81640625" style="67" bestFit="1" customWidth="1"/>
    <col min="3" max="3" width="8.7265625" style="67" customWidth="1"/>
    <col min="4" max="4" width="7.81640625" style="67" customWidth="1"/>
    <col min="5" max="5" width="8.1796875" style="67" customWidth="1"/>
    <col min="6" max="8" width="10.7265625" style="67" customWidth="1"/>
    <col min="9" max="9" width="4.1796875" style="67" customWidth="1"/>
    <col min="10" max="16384" width="8.81640625" style="67"/>
  </cols>
  <sheetData>
    <row r="1" spans="1:9" ht="14">
      <c r="A1" s="178"/>
    </row>
    <row r="2" spans="1:9" ht="15.5">
      <c r="A2" s="179" t="s">
        <v>64</v>
      </c>
    </row>
    <row r="3" spans="1:9" ht="15.5">
      <c r="A3" s="179" t="s">
        <v>278</v>
      </c>
    </row>
    <row r="4" spans="1:9" ht="15.5">
      <c r="A4" s="179" t="s">
        <v>279</v>
      </c>
    </row>
    <row r="5" spans="1:9" ht="15.5">
      <c r="B5" s="181"/>
      <c r="C5" s="181"/>
      <c r="D5" s="181"/>
      <c r="E5" s="181"/>
    </row>
    <row r="6" spans="1:9" ht="13">
      <c r="A6" s="460" t="s">
        <v>66</v>
      </c>
      <c r="B6" s="461" t="s">
        <v>67</v>
      </c>
      <c r="C6" s="288" t="s">
        <v>68</v>
      </c>
      <c r="D6" s="288" t="s">
        <v>69</v>
      </c>
      <c r="E6" s="288" t="s">
        <v>70</v>
      </c>
      <c r="F6" s="286" t="str">
        <f>reportminus2</f>
        <v>2017-18</v>
      </c>
      <c r="G6" s="286" t="str">
        <f>reportminus1</f>
        <v>2018-19</v>
      </c>
      <c r="H6" s="286" t="str">
        <f>reportyear</f>
        <v>2019-20</v>
      </c>
    </row>
    <row r="7" spans="1:9" ht="13">
      <c r="A7" s="41"/>
      <c r="B7" s="464"/>
      <c r="C7" s="42" t="s">
        <v>72</v>
      </c>
      <c r="D7" s="42"/>
      <c r="E7" s="42" t="s">
        <v>73</v>
      </c>
      <c r="F7" s="287"/>
      <c r="G7" s="287"/>
      <c r="H7" s="287"/>
    </row>
    <row r="8" spans="1:9" ht="13">
      <c r="A8" s="67"/>
      <c r="F8" s="182" t="s">
        <v>74</v>
      </c>
      <c r="G8" s="182" t="s">
        <v>74</v>
      </c>
      <c r="H8" s="182" t="s">
        <v>74</v>
      </c>
    </row>
    <row r="9" spans="1:9">
      <c r="A9" s="67"/>
    </row>
    <row r="10" spans="1:9">
      <c r="A10" s="23" t="s">
        <v>280</v>
      </c>
      <c r="B10" s="51" t="s">
        <v>78</v>
      </c>
      <c r="C10" s="174" t="s">
        <v>281</v>
      </c>
      <c r="D10" s="174" t="s">
        <v>80</v>
      </c>
      <c r="E10" s="174" t="s">
        <v>100</v>
      </c>
      <c r="F10" s="183">
        <f>+'M7'!N17</f>
        <v>1191.3300000000002</v>
      </c>
      <c r="G10" s="7">
        <f>+'M7'!Q17</f>
        <v>1216.896</v>
      </c>
      <c r="H10" s="7">
        <f>+'M7'!T17</f>
        <v>1254.3879999999999</v>
      </c>
    </row>
    <row r="11" spans="1:9">
      <c r="A11" s="23" t="s">
        <v>282</v>
      </c>
      <c r="B11" s="51" t="s">
        <v>283</v>
      </c>
      <c r="C11" s="846" t="s">
        <v>284</v>
      </c>
      <c r="D11" s="174" t="s">
        <v>80</v>
      </c>
      <c r="E11" s="174" t="s">
        <v>237</v>
      </c>
      <c r="F11" s="177">
        <v>-368.44499999999999</v>
      </c>
      <c r="G11" s="141">
        <v>-393.12400000000002</v>
      </c>
      <c r="H11" s="177">
        <v>-383.97500000000002</v>
      </c>
    </row>
    <row r="12" spans="1:9">
      <c r="A12" s="23" t="s">
        <v>285</v>
      </c>
      <c r="B12" s="51" t="s">
        <v>286</v>
      </c>
      <c r="C12" s="847"/>
      <c r="D12" s="174" t="s">
        <v>80</v>
      </c>
      <c r="E12" s="174" t="s">
        <v>237</v>
      </c>
      <c r="F12" s="177">
        <v>-117.43</v>
      </c>
      <c r="G12" s="177">
        <v>-106.04300000000001</v>
      </c>
      <c r="H12" s="177">
        <v>-125.42400000000001</v>
      </c>
    </row>
    <row r="13" spans="1:9">
      <c r="A13" s="23" t="s">
        <v>287</v>
      </c>
      <c r="B13" s="51" t="s">
        <v>288</v>
      </c>
      <c r="C13" s="847"/>
      <c r="D13" s="174" t="s">
        <v>80</v>
      </c>
      <c r="E13" s="174" t="s">
        <v>237</v>
      </c>
      <c r="F13" s="177">
        <v>-0.63700000000000001</v>
      </c>
      <c r="G13" s="177">
        <v>-0.72299999999999998</v>
      </c>
      <c r="H13" s="177">
        <v>-0.60499999999999998</v>
      </c>
    </row>
    <row r="14" spans="1:9">
      <c r="A14" s="23" t="s">
        <v>289</v>
      </c>
      <c r="B14" s="51" t="s">
        <v>290</v>
      </c>
      <c r="C14" s="847"/>
      <c r="D14" s="174" t="s">
        <v>80</v>
      </c>
      <c r="E14" s="174" t="s">
        <v>237</v>
      </c>
      <c r="F14" s="177">
        <v>-27.384</v>
      </c>
      <c r="G14" s="177">
        <v>-35.024999999999999</v>
      </c>
      <c r="H14" s="177">
        <v>-35.865000000000002</v>
      </c>
    </row>
    <row r="15" spans="1:9">
      <c r="A15" s="23" t="s">
        <v>291</v>
      </c>
      <c r="B15" s="51" t="s">
        <v>292</v>
      </c>
      <c r="C15" s="847"/>
      <c r="D15" s="174" t="s">
        <v>80</v>
      </c>
      <c r="E15" s="174" t="s">
        <v>237</v>
      </c>
      <c r="F15" s="177">
        <v>0</v>
      </c>
      <c r="G15" s="177">
        <v>0</v>
      </c>
      <c r="H15" s="177">
        <v>0</v>
      </c>
    </row>
    <row r="16" spans="1:9">
      <c r="A16" s="23" t="s">
        <v>293</v>
      </c>
      <c r="B16" s="51" t="s">
        <v>294</v>
      </c>
      <c r="C16" s="847"/>
      <c r="D16" s="174" t="s">
        <v>80</v>
      </c>
      <c r="E16" s="174" t="s">
        <v>237</v>
      </c>
      <c r="F16" s="177">
        <v>-235.46800000000002</v>
      </c>
      <c r="G16" s="141">
        <v>-243.78</v>
      </c>
      <c r="H16" s="177">
        <v>-253.43799999999999</v>
      </c>
      <c r="I16" s="68"/>
    </row>
    <row r="17" spans="1:9">
      <c r="A17" s="23" t="s">
        <v>295</v>
      </c>
      <c r="B17" s="51" t="s">
        <v>296</v>
      </c>
      <c r="C17" s="847"/>
      <c r="D17" s="174" t="s">
        <v>80</v>
      </c>
      <c r="E17" s="174" t="s">
        <v>237</v>
      </c>
      <c r="F17" s="177">
        <v>-17.7</v>
      </c>
      <c r="G17" s="177">
        <v>-18</v>
      </c>
      <c r="H17" s="177">
        <v>-19.399999999999999</v>
      </c>
      <c r="I17" s="68"/>
    </row>
    <row r="18" spans="1:9">
      <c r="A18" s="23" t="s">
        <v>297</v>
      </c>
      <c r="B18" s="51" t="s">
        <v>298</v>
      </c>
      <c r="C18" s="847"/>
      <c r="D18" s="174" t="s">
        <v>80</v>
      </c>
      <c r="E18" s="174" t="s">
        <v>237</v>
      </c>
      <c r="F18" s="177">
        <v>-19.542000000000002</v>
      </c>
      <c r="G18" s="177">
        <v>-19.315000000000001</v>
      </c>
      <c r="H18" s="177">
        <v>-19.385999999999999</v>
      </c>
      <c r="I18" s="68"/>
    </row>
    <row r="19" spans="1:9" ht="12.75" customHeight="1">
      <c r="A19" s="23" t="s">
        <v>299</v>
      </c>
      <c r="B19" s="51" t="s">
        <v>300</v>
      </c>
      <c r="C19" s="847"/>
      <c r="D19" s="174" t="s">
        <v>80</v>
      </c>
      <c r="E19" s="174" t="s">
        <v>237</v>
      </c>
      <c r="F19" s="177">
        <v>-134.69999999999999</v>
      </c>
      <c r="G19" s="177">
        <v>-130</v>
      </c>
      <c r="H19" s="177">
        <v>-126.3</v>
      </c>
    </row>
    <row r="20" spans="1:9">
      <c r="A20" s="23" t="s">
        <v>301</v>
      </c>
      <c r="B20" s="51" t="s">
        <v>93</v>
      </c>
      <c r="C20" s="848"/>
      <c r="D20" s="174" t="s">
        <v>80</v>
      </c>
      <c r="E20" s="174" t="s">
        <v>237</v>
      </c>
      <c r="F20" s="177">
        <v>0.98599999999999999</v>
      </c>
      <c r="G20" s="177">
        <v>0.98599999999999999</v>
      </c>
      <c r="H20" s="177">
        <v>0.98599999999999999</v>
      </c>
    </row>
    <row r="21" spans="1:9">
      <c r="A21" s="23" t="s">
        <v>302</v>
      </c>
      <c r="B21" s="51" t="s">
        <v>95</v>
      </c>
      <c r="C21" s="174" t="s">
        <v>303</v>
      </c>
      <c r="D21" s="174" t="s">
        <v>80</v>
      </c>
      <c r="E21" s="174" t="s">
        <v>100</v>
      </c>
      <c r="F21" s="183">
        <f>+'M7'!K22</f>
        <v>0</v>
      </c>
      <c r="G21" s="183">
        <f>+'M7'!N22</f>
        <v>0</v>
      </c>
      <c r="H21" s="7">
        <f>+'M7'!Q22</f>
        <v>0</v>
      </c>
    </row>
    <row r="22" spans="1:9">
      <c r="A22" s="23" t="s">
        <v>304</v>
      </c>
      <c r="B22" s="51" t="s">
        <v>98</v>
      </c>
      <c r="C22" s="174" t="s">
        <v>305</v>
      </c>
      <c r="D22" s="174" t="s">
        <v>80</v>
      </c>
      <c r="E22" s="174" t="s">
        <v>100</v>
      </c>
      <c r="F22" s="183">
        <f>SUM(F10:F21)</f>
        <v>271.01000000000016</v>
      </c>
      <c r="G22" s="183">
        <f>SUM(G10:G21)</f>
        <v>271.87200000000001</v>
      </c>
      <c r="H22" s="183">
        <f>SUM(H10:H21)</f>
        <v>290.98099999999988</v>
      </c>
    </row>
    <row r="23" spans="1:9">
      <c r="A23" s="23" t="s">
        <v>306</v>
      </c>
      <c r="B23" s="51" t="s">
        <v>307</v>
      </c>
      <c r="C23" s="174"/>
      <c r="D23" s="174" t="s">
        <v>80</v>
      </c>
      <c r="E23" s="174" t="s">
        <v>237</v>
      </c>
      <c r="F23" s="177">
        <v>7.0430000000000001</v>
      </c>
      <c r="G23" s="177">
        <v>0.93</v>
      </c>
      <c r="H23" s="177">
        <v>1.2190000000000001</v>
      </c>
    </row>
    <row r="24" spans="1:9">
      <c r="A24" s="23" t="s">
        <v>308</v>
      </c>
      <c r="B24" s="51" t="s">
        <v>102</v>
      </c>
      <c r="C24" s="174" t="s">
        <v>309</v>
      </c>
      <c r="D24" s="174" t="s">
        <v>80</v>
      </c>
      <c r="E24" s="174" t="s">
        <v>100</v>
      </c>
      <c r="F24" s="183">
        <f>+'M1'!F16</f>
        <v>0</v>
      </c>
      <c r="G24" s="183">
        <f>+'M1'!I16</f>
        <v>0</v>
      </c>
      <c r="H24" s="183">
        <f>+'M1'!H16</f>
        <v>0</v>
      </c>
    </row>
    <row r="25" spans="1:9">
      <c r="A25" s="23" t="s">
        <v>310</v>
      </c>
      <c r="B25" s="51" t="s">
        <v>311</v>
      </c>
      <c r="C25" s="184" t="s">
        <v>312</v>
      </c>
      <c r="D25" s="174" t="s">
        <v>80</v>
      </c>
      <c r="E25" s="174" t="s">
        <v>100</v>
      </c>
      <c r="F25" s="177">
        <v>-149.917</v>
      </c>
      <c r="G25" s="7">
        <f>+'M1'!F17</f>
        <v>-148.226</v>
      </c>
      <c r="H25" s="7">
        <f>+'M1'!I17</f>
        <v>-146.30199999999999</v>
      </c>
    </row>
    <row r="26" spans="1:9">
      <c r="A26" s="23" t="s">
        <v>313</v>
      </c>
      <c r="B26" s="51" t="s">
        <v>314</v>
      </c>
      <c r="C26" s="184" t="s">
        <v>315</v>
      </c>
      <c r="D26" s="174" t="s">
        <v>80</v>
      </c>
      <c r="E26" s="174" t="s">
        <v>237</v>
      </c>
      <c r="F26" s="177">
        <v>-20.39</v>
      </c>
      <c r="G26" s="177">
        <v>-19.2</v>
      </c>
      <c r="H26" s="177">
        <v>-17.899999999999999</v>
      </c>
    </row>
    <row r="27" spans="1:9">
      <c r="A27" s="281" t="s">
        <v>316</v>
      </c>
      <c r="B27" s="51"/>
      <c r="C27" s="184"/>
      <c r="D27" s="174"/>
      <c r="E27" s="174"/>
      <c r="F27" s="177"/>
      <c r="G27" s="177"/>
      <c r="H27" s="177"/>
    </row>
    <row r="28" spans="1:9">
      <c r="A28" s="23" t="s">
        <v>317</v>
      </c>
      <c r="B28" s="51" t="s">
        <v>318</v>
      </c>
      <c r="C28" s="174" t="s">
        <v>319</v>
      </c>
      <c r="D28" s="174" t="s">
        <v>80</v>
      </c>
      <c r="E28" s="174" t="s">
        <v>100</v>
      </c>
      <c r="F28" s="183">
        <f>SUM(F22:F27)</f>
        <v>107.74600000000017</v>
      </c>
      <c r="G28" s="183">
        <f>SUM(G22:G27)</f>
        <v>105.37600000000002</v>
      </c>
      <c r="H28" s="183">
        <f>SUM(H22:H27)</f>
        <v>127.99799999999988</v>
      </c>
    </row>
    <row r="29" spans="1:9">
      <c r="A29" s="23" t="s">
        <v>320</v>
      </c>
      <c r="B29" s="6" t="s">
        <v>111</v>
      </c>
      <c r="C29" s="174" t="s">
        <v>321</v>
      </c>
      <c r="D29" s="174" t="s">
        <v>80</v>
      </c>
      <c r="E29" s="174" t="s">
        <v>237</v>
      </c>
      <c r="F29" s="177">
        <v>-1.6539999999999999</v>
      </c>
      <c r="G29" s="177">
        <v>-2.9649999999999999</v>
      </c>
      <c r="H29" s="177">
        <f>-12.171+0.001</f>
        <v>-12.17</v>
      </c>
      <c r="I29" s="185"/>
    </row>
    <row r="30" spans="1:9">
      <c r="A30" s="23" t="s">
        <v>322</v>
      </c>
      <c r="B30" s="6" t="s">
        <v>114</v>
      </c>
      <c r="C30" s="174"/>
      <c r="D30" s="174" t="s">
        <v>80</v>
      </c>
      <c r="E30" s="174" t="s">
        <v>237</v>
      </c>
      <c r="F30" s="177">
        <v>-15.666</v>
      </c>
      <c r="G30" s="177">
        <v>-16.701000000000001</v>
      </c>
      <c r="H30" s="177">
        <v>-61.776000000000003</v>
      </c>
    </row>
    <row r="31" spans="1:9">
      <c r="A31" s="23" t="s">
        <v>323</v>
      </c>
      <c r="B31" s="51" t="s">
        <v>324</v>
      </c>
      <c r="C31" s="174" t="s">
        <v>325</v>
      </c>
      <c r="D31" s="174" t="s">
        <v>80</v>
      </c>
      <c r="E31" s="174" t="s">
        <v>100</v>
      </c>
      <c r="F31" s="183">
        <f>SUM(F28:F30)</f>
        <v>90.426000000000172</v>
      </c>
      <c r="G31" s="183">
        <f>SUM(G28:G30)</f>
        <v>85.710000000000008</v>
      </c>
      <c r="H31" s="183">
        <f>SUM(H28:H30)</f>
        <v>54.051999999999872</v>
      </c>
    </row>
    <row r="32" spans="1:9">
      <c r="A32" s="23" t="s">
        <v>326</v>
      </c>
      <c r="B32" s="51" t="s">
        <v>327</v>
      </c>
      <c r="C32" s="174" t="s">
        <v>328</v>
      </c>
      <c r="D32" s="174" t="s">
        <v>80</v>
      </c>
      <c r="E32" s="174" t="s">
        <v>100</v>
      </c>
      <c r="F32" s="177"/>
      <c r="G32" s="7">
        <f>+'M1'!F22</f>
        <v>0</v>
      </c>
      <c r="H32" s="7">
        <f>+'M1'!I22</f>
        <v>0</v>
      </c>
      <c r="I32" s="185"/>
    </row>
    <row r="33" spans="1:8">
      <c r="A33" s="23" t="s">
        <v>329</v>
      </c>
      <c r="B33" s="51" t="s">
        <v>121</v>
      </c>
      <c r="C33" s="174" t="s">
        <v>330</v>
      </c>
      <c r="D33" s="174" t="s">
        <v>80</v>
      </c>
      <c r="E33" s="174" t="s">
        <v>100</v>
      </c>
      <c r="F33" s="183">
        <f>+F31+F32</f>
        <v>90.426000000000172</v>
      </c>
      <c r="G33" s="183">
        <f>+G31+G32</f>
        <v>85.710000000000008</v>
      </c>
      <c r="H33" s="183">
        <f>+H31+H32</f>
        <v>54.051999999999872</v>
      </c>
    </row>
    <row r="34" spans="1:8">
      <c r="A34" s="23" t="s">
        <v>331</v>
      </c>
      <c r="B34" s="51" t="s">
        <v>123</v>
      </c>
      <c r="C34" s="174" t="s">
        <v>332</v>
      </c>
      <c r="D34" s="174" t="s">
        <v>80</v>
      </c>
      <c r="E34" s="174" t="s">
        <v>100</v>
      </c>
      <c r="F34" s="177"/>
      <c r="G34" s="7">
        <f>+'M1'!F24</f>
        <v>0</v>
      </c>
      <c r="H34" s="7">
        <f>+'M1'!I24</f>
        <v>0</v>
      </c>
    </row>
    <row r="35" spans="1:8">
      <c r="A35" s="23" t="s">
        <v>333</v>
      </c>
      <c r="B35" s="51" t="s">
        <v>334</v>
      </c>
      <c r="C35" s="174" t="s">
        <v>335</v>
      </c>
      <c r="D35" s="174" t="s">
        <v>80</v>
      </c>
      <c r="E35" s="174" t="s">
        <v>100</v>
      </c>
      <c r="F35" s="183">
        <f>+F33+F34</f>
        <v>90.426000000000172</v>
      </c>
      <c r="G35" s="183">
        <f>+G33+G34</f>
        <v>85.710000000000008</v>
      </c>
      <c r="H35" s="183">
        <f>+H33+H34</f>
        <v>54.051999999999872</v>
      </c>
    </row>
    <row r="36" spans="1:8" ht="13">
      <c r="A36" s="66"/>
      <c r="B36" s="19"/>
      <c r="C36" s="19"/>
      <c r="D36" s="19"/>
      <c r="E36" s="19"/>
    </row>
    <row r="37" spans="1:8" ht="15.5">
      <c r="A37" s="179" t="s">
        <v>336</v>
      </c>
    </row>
    <row r="38" spans="1:8" ht="15.5">
      <c r="A38" s="179" t="s">
        <v>337</v>
      </c>
    </row>
    <row r="39" spans="1:8" ht="15.5">
      <c r="A39" s="179"/>
    </row>
    <row r="40" spans="1:8" s="10" customFormat="1" ht="12.75" customHeight="1">
      <c r="A40" s="49" t="s">
        <v>66</v>
      </c>
      <c r="B40" s="38" t="s">
        <v>67</v>
      </c>
      <c r="C40" s="39" t="s">
        <v>68</v>
      </c>
      <c r="D40" s="39" t="s">
        <v>69</v>
      </c>
      <c r="E40" s="40" t="s">
        <v>70</v>
      </c>
      <c r="F40" s="286" t="str">
        <f>reportminus2</f>
        <v>2017-18</v>
      </c>
      <c r="G40" s="286" t="str">
        <f>reportminus1</f>
        <v>2018-19</v>
      </c>
      <c r="H40" s="286" t="str">
        <f>reportyear</f>
        <v>2019-20</v>
      </c>
    </row>
    <row r="41" spans="1:8" s="62" customFormat="1" ht="13">
      <c r="A41" s="465"/>
      <c r="B41" s="516"/>
      <c r="C41" s="289" t="s">
        <v>72</v>
      </c>
      <c r="D41" s="289"/>
      <c r="E41" s="466" t="s">
        <v>73</v>
      </c>
      <c r="F41" s="467"/>
      <c r="G41" s="467"/>
      <c r="H41" s="467"/>
    </row>
    <row r="42" spans="1:8" s="62" customFormat="1" ht="13">
      <c r="A42" s="470"/>
      <c r="B42" s="517"/>
      <c r="C42" s="471"/>
      <c r="D42" s="471"/>
      <c r="E42" s="472"/>
      <c r="F42" s="182" t="s">
        <v>74</v>
      </c>
      <c r="G42" s="182" t="s">
        <v>74</v>
      </c>
      <c r="H42" s="182" t="s">
        <v>74</v>
      </c>
    </row>
    <row r="43" spans="1:8" s="62" customFormat="1" ht="13">
      <c r="A43" s="473"/>
      <c r="B43" s="518"/>
      <c r="C43" s="474"/>
      <c r="D43" s="474"/>
      <c r="E43" s="475"/>
      <c r="F43" s="476"/>
      <c r="G43" s="476"/>
      <c r="H43" s="476"/>
    </row>
    <row r="44" spans="1:8" s="10" customFormat="1">
      <c r="A44" s="468">
        <v>19.100000000000001</v>
      </c>
      <c r="B44" s="469" t="s">
        <v>121</v>
      </c>
      <c r="C44" s="519" t="s">
        <v>338</v>
      </c>
      <c r="D44" s="519" t="s">
        <v>80</v>
      </c>
      <c r="E44" s="519" t="s">
        <v>100</v>
      </c>
      <c r="F44" s="520">
        <f>+'M4'!F35</f>
        <v>90.426000000000172</v>
      </c>
      <c r="G44" s="520">
        <f>+'M4'!G35</f>
        <v>85.710000000000008</v>
      </c>
      <c r="H44" s="520">
        <f>+'M4'!H35</f>
        <v>54.051999999999872</v>
      </c>
    </row>
    <row r="45" spans="1:8" s="10" customFormat="1">
      <c r="A45" s="283">
        <v>19.2</v>
      </c>
      <c r="B45" s="284" t="s">
        <v>339</v>
      </c>
      <c r="C45" s="521" t="s">
        <v>340</v>
      </c>
      <c r="D45" s="521" t="s">
        <v>80</v>
      </c>
      <c r="E45" s="521" t="s">
        <v>237</v>
      </c>
      <c r="F45" s="275">
        <v>65.120999999999995</v>
      </c>
      <c r="G45" s="275">
        <v>-41.430999999999997</v>
      </c>
      <c r="H45" s="275">
        <v>47.052</v>
      </c>
    </row>
    <row r="46" spans="1:8" s="10" customFormat="1">
      <c r="A46" s="283">
        <v>19.3</v>
      </c>
      <c r="B46" s="284" t="s">
        <v>341</v>
      </c>
      <c r="C46" s="521"/>
      <c r="D46" s="521" t="s">
        <v>80</v>
      </c>
      <c r="E46" s="521" t="s">
        <v>237</v>
      </c>
      <c r="F46" s="275">
        <v>-28.187000000000001</v>
      </c>
      <c r="G46" s="275">
        <v>-18.744</v>
      </c>
      <c r="H46" s="275">
        <v>-23.061</v>
      </c>
    </row>
    <row r="47" spans="1:8" s="10" customFormat="1">
      <c r="A47" s="283">
        <v>19.399999999999999</v>
      </c>
      <c r="B47" s="284" t="s">
        <v>342</v>
      </c>
      <c r="C47" s="521" t="s">
        <v>343</v>
      </c>
      <c r="D47" s="521" t="s">
        <v>80</v>
      </c>
      <c r="E47" s="521" t="s">
        <v>237</v>
      </c>
      <c r="F47" s="275">
        <v>0</v>
      </c>
      <c r="G47" s="275">
        <v>0</v>
      </c>
      <c r="H47" s="275">
        <v>0</v>
      </c>
    </row>
    <row r="48" spans="1:8" s="10" customFormat="1">
      <c r="A48" s="283">
        <v>19.5</v>
      </c>
      <c r="B48" s="284" t="s">
        <v>344</v>
      </c>
      <c r="C48" s="521" t="s">
        <v>345</v>
      </c>
      <c r="D48" s="521" t="s">
        <v>80</v>
      </c>
      <c r="E48" s="521" t="s">
        <v>100</v>
      </c>
      <c r="F48" s="522">
        <f>SUM(F44:F47)</f>
        <v>127.36000000000017</v>
      </c>
      <c r="G48" s="522">
        <f>SUM(G44:G47)</f>
        <v>25.535000000000011</v>
      </c>
      <c r="H48" s="522">
        <f>SUM(H44:H47)</f>
        <v>78.042999999999864</v>
      </c>
    </row>
    <row r="49" s="10" customFormat="1"/>
  </sheetData>
  <mergeCells count="1">
    <mergeCell ref="C11:C20"/>
  </mergeCells>
  <phoneticPr fontId="0" type="noConversion"/>
  <pageMargins left="0.57999999999999996" right="0.6" top="0.98425196850393704" bottom="0.98425196850393704" header="0.51181102362204722" footer="0.51181102362204722"/>
  <pageSetup paperSize="9" scale="73" orientation="landscape" r:id="rId1"/>
  <headerFooter alignWithMargins="0">
    <oddFooter>&amp;RRegulatory Accounts - M tables 2010-11 v1.2&amp;L&amp;1#&amp;"Arial"&amp;11&amp;K000000SW Internal Commercial</oddFooter>
  </headerFooter>
  <ignoredErrors>
    <ignoredError sqref="A10:A35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00FF"/>
    <pageSetUpPr fitToPage="1"/>
  </sheetPr>
  <dimension ref="A1:I59"/>
  <sheetViews>
    <sheetView zoomScaleNormal="100" zoomScaleSheetLayoutView="100" workbookViewId="0">
      <selection activeCell="A5" sqref="A5"/>
    </sheetView>
  </sheetViews>
  <sheetFormatPr defaultColWidth="8.81640625" defaultRowHeight="12.5"/>
  <cols>
    <col min="1" max="1" width="5.26953125" style="180" customWidth="1"/>
    <col min="2" max="2" width="52.453125" style="67" bestFit="1" customWidth="1"/>
    <col min="3" max="3" width="10.1796875" style="67" customWidth="1"/>
    <col min="4" max="5" width="6.453125" style="67" customWidth="1"/>
    <col min="6" max="6" width="10.7265625" style="67" customWidth="1"/>
    <col min="7" max="7" width="10.81640625" style="67" customWidth="1"/>
    <col min="8" max="8" width="10.7265625" style="67" customWidth="1"/>
    <col min="9" max="9" width="11.453125" style="67" customWidth="1"/>
    <col min="10" max="16384" width="8.81640625" style="67"/>
  </cols>
  <sheetData>
    <row r="1" spans="1:8" ht="15.5">
      <c r="B1" s="186"/>
      <c r="C1" s="186"/>
      <c r="D1" s="186"/>
      <c r="E1" s="186"/>
    </row>
    <row r="2" spans="1:8" ht="15.5">
      <c r="A2" s="179" t="s">
        <v>64</v>
      </c>
      <c r="B2" s="186"/>
      <c r="C2" s="186"/>
      <c r="D2" s="186"/>
      <c r="E2" s="186"/>
    </row>
    <row r="3" spans="1:8" ht="15.5">
      <c r="A3" s="179" t="s">
        <v>346</v>
      </c>
    </row>
    <row r="4" spans="1:8" ht="15.5">
      <c r="A4" s="179" t="s">
        <v>347</v>
      </c>
    </row>
    <row r="5" spans="1:8" ht="15.5">
      <c r="A5" s="179"/>
    </row>
    <row r="6" spans="1:8" ht="13">
      <c r="A6" s="460" t="s">
        <v>66</v>
      </c>
      <c r="B6" s="461" t="s">
        <v>67</v>
      </c>
      <c r="C6" s="288" t="s">
        <v>68</v>
      </c>
      <c r="D6" s="288" t="s">
        <v>69</v>
      </c>
      <c r="E6" s="462" t="s">
        <v>70</v>
      </c>
      <c r="F6" s="286" t="str">
        <f>reportminus2</f>
        <v>2017-18</v>
      </c>
      <c r="G6" s="286" t="str">
        <f>reportminus1</f>
        <v>2018-19</v>
      </c>
      <c r="H6" s="286" t="str">
        <f>reportyear</f>
        <v>2019-20</v>
      </c>
    </row>
    <row r="7" spans="1:8" ht="13">
      <c r="A7" s="41"/>
      <c r="B7" s="464"/>
      <c r="C7" s="42" t="s">
        <v>72</v>
      </c>
      <c r="D7" s="42"/>
      <c r="E7" s="43" t="s">
        <v>73</v>
      </c>
      <c r="F7" s="287"/>
      <c r="G7" s="287"/>
      <c r="H7" s="287"/>
    </row>
    <row r="8" spans="1:8" ht="13">
      <c r="A8" s="477"/>
      <c r="B8" s="478"/>
      <c r="C8" s="479"/>
      <c r="D8" s="479"/>
      <c r="E8" s="480"/>
      <c r="F8" s="182" t="s">
        <v>74</v>
      </c>
      <c r="G8" s="182" t="s">
        <v>74</v>
      </c>
      <c r="H8" s="182" t="s">
        <v>74</v>
      </c>
    </row>
    <row r="9" spans="1:8" ht="12.75" customHeight="1">
      <c r="A9" s="48"/>
      <c r="B9" s="188" t="s">
        <v>132</v>
      </c>
      <c r="C9" s="189"/>
      <c r="D9" s="189"/>
      <c r="E9" s="189"/>
    </row>
    <row r="10" spans="1:8">
      <c r="A10" s="23" t="s">
        <v>348</v>
      </c>
      <c r="B10" s="51" t="s">
        <v>349</v>
      </c>
      <c r="C10" s="174" t="s">
        <v>350</v>
      </c>
      <c r="D10" s="174" t="s">
        <v>80</v>
      </c>
      <c r="E10" s="174" t="s">
        <v>100</v>
      </c>
      <c r="F10" s="177">
        <v>5634.6459999999997</v>
      </c>
      <c r="G10" s="177">
        <v>5875.665</v>
      </c>
      <c r="H10" s="177">
        <v>6104.4679999999998</v>
      </c>
    </row>
    <row r="11" spans="1:8">
      <c r="A11" s="23" t="s">
        <v>351</v>
      </c>
      <c r="B11" s="51" t="s">
        <v>352</v>
      </c>
      <c r="C11" s="174" t="s">
        <v>315</v>
      </c>
      <c r="D11" s="174" t="s">
        <v>80</v>
      </c>
      <c r="E11" s="174" t="s">
        <v>237</v>
      </c>
      <c r="F11" s="177">
        <v>328.24200000000002</v>
      </c>
      <c r="G11" s="177">
        <v>308.98899999999998</v>
      </c>
      <c r="H11" s="177">
        <v>290.48899999999998</v>
      </c>
    </row>
    <row r="12" spans="1:8">
      <c r="A12" s="23" t="s">
        <v>353</v>
      </c>
      <c r="B12" s="190" t="s">
        <v>354</v>
      </c>
      <c r="C12" s="174" t="s">
        <v>355</v>
      </c>
      <c r="D12" s="174" t="s">
        <v>80</v>
      </c>
      <c r="E12" s="174" t="s">
        <v>237</v>
      </c>
      <c r="F12" s="177"/>
      <c r="G12" s="177"/>
      <c r="H12" s="177"/>
    </row>
    <row r="13" spans="1:8">
      <c r="A13" s="67"/>
    </row>
    <row r="14" spans="1:8" ht="13">
      <c r="A14" s="60"/>
      <c r="B14" s="191" t="s">
        <v>356</v>
      </c>
    </row>
    <row r="15" spans="1:8">
      <c r="A15" s="28" t="s">
        <v>357</v>
      </c>
      <c r="B15" s="192" t="s">
        <v>358</v>
      </c>
      <c r="C15" s="174" t="s">
        <v>359</v>
      </c>
      <c r="D15" s="174" t="s">
        <v>80</v>
      </c>
      <c r="E15" s="174" t="s">
        <v>100</v>
      </c>
      <c r="F15" s="183">
        <f>+'M11'!F24</f>
        <v>-305.32900000000006</v>
      </c>
      <c r="G15" s="183">
        <f>+'M11'!G24</f>
        <v>-311.82900000000001</v>
      </c>
      <c r="H15" s="183">
        <f>+'M11'!H24</f>
        <v>-305.38599999999997</v>
      </c>
    </row>
    <row r="16" spans="1:8">
      <c r="A16" s="28" t="s">
        <v>360</v>
      </c>
      <c r="B16" s="190" t="s">
        <v>361</v>
      </c>
      <c r="C16" s="174" t="s">
        <v>362</v>
      </c>
      <c r="D16" s="174" t="s">
        <v>80</v>
      </c>
      <c r="E16" s="174" t="s">
        <v>100</v>
      </c>
      <c r="F16" s="177">
        <v>31.649000000000001</v>
      </c>
      <c r="G16" s="183">
        <f>+'M2'!F17</f>
        <v>36.088000000000001</v>
      </c>
      <c r="H16" s="183">
        <f>+'M2'!I17</f>
        <v>116.643</v>
      </c>
    </row>
    <row r="17" spans="1:9">
      <c r="A17" s="28" t="s">
        <v>363</v>
      </c>
      <c r="B17" s="190" t="s">
        <v>156</v>
      </c>
      <c r="C17" s="174" t="s">
        <v>364</v>
      </c>
      <c r="D17" s="174" t="s">
        <v>80</v>
      </c>
      <c r="E17" s="174" t="s">
        <v>100</v>
      </c>
      <c r="F17" s="177">
        <v>239</v>
      </c>
      <c r="G17" s="183">
        <f>+'M2'!F18</f>
        <v>274.8</v>
      </c>
      <c r="H17" s="183">
        <f>+'M2'!I18</f>
        <v>274.8</v>
      </c>
      <c r="I17" s="170"/>
    </row>
    <row r="18" spans="1:9">
      <c r="A18" s="28" t="s">
        <v>365</v>
      </c>
      <c r="B18" s="190" t="s">
        <v>170</v>
      </c>
      <c r="C18" s="174" t="s">
        <v>366</v>
      </c>
      <c r="D18" s="174" t="s">
        <v>80</v>
      </c>
      <c r="E18" s="174" t="s">
        <v>100</v>
      </c>
      <c r="F18" s="177">
        <v>0</v>
      </c>
      <c r="G18" s="183">
        <f>+'M2'!F25</f>
        <v>0</v>
      </c>
      <c r="H18" s="183">
        <f>+'M2'!I25</f>
        <v>0</v>
      </c>
    </row>
    <row r="19" spans="1:9" ht="12.75" customHeight="1">
      <c r="A19" s="28" t="s">
        <v>367</v>
      </c>
      <c r="B19" s="190" t="s">
        <v>368</v>
      </c>
      <c r="C19" s="174" t="s">
        <v>369</v>
      </c>
      <c r="D19" s="174" t="s">
        <v>80</v>
      </c>
      <c r="E19" s="174" t="s">
        <v>100</v>
      </c>
      <c r="F19" s="183">
        <f>SUM(F10:F18)</f>
        <v>5928.2080000000005</v>
      </c>
      <c r="G19" s="183">
        <f>SUM(G10:G18)</f>
        <v>6183.7129999999997</v>
      </c>
      <c r="H19" s="183">
        <f>SUM(H10:H18)</f>
        <v>6481.0140000000001</v>
      </c>
    </row>
    <row r="20" spans="1:9" ht="12.75" customHeight="1">
      <c r="A20" s="67"/>
    </row>
    <row r="21" spans="1:9" ht="12.75" customHeight="1">
      <c r="A21" s="61"/>
      <c r="B21" s="191" t="s">
        <v>370</v>
      </c>
    </row>
    <row r="22" spans="1:9" ht="12.75" customHeight="1">
      <c r="A22" s="28" t="s">
        <v>371</v>
      </c>
      <c r="B22" s="193" t="s">
        <v>372</v>
      </c>
      <c r="C22" s="174" t="s">
        <v>373</v>
      </c>
      <c r="D22" s="174" t="s">
        <v>80</v>
      </c>
      <c r="E22" s="174" t="s">
        <v>100</v>
      </c>
      <c r="F22" s="177">
        <v>0</v>
      </c>
      <c r="G22" s="183">
        <f>+'M2'!F28</f>
        <v>-0.5</v>
      </c>
      <c r="H22" s="183">
        <f>+'M2'!I28</f>
        <v>-0.5</v>
      </c>
    </row>
    <row r="23" spans="1:9" ht="12.75" customHeight="1">
      <c r="A23" s="28" t="s">
        <v>374</v>
      </c>
      <c r="B23" s="190" t="s">
        <v>375</v>
      </c>
      <c r="C23" s="174"/>
      <c r="D23" s="174" t="s">
        <v>80</v>
      </c>
      <c r="E23" s="174" t="s">
        <v>100</v>
      </c>
      <c r="F23" s="177">
        <v>0</v>
      </c>
      <c r="G23" s="183">
        <f>+'M2'!F19</f>
        <v>0</v>
      </c>
      <c r="H23" s="183">
        <f>+'M2'!I19</f>
        <v>0</v>
      </c>
    </row>
    <row r="24" spans="1:9" ht="12.75" customHeight="1">
      <c r="A24" s="28" t="s">
        <v>376</v>
      </c>
      <c r="B24" s="190" t="s">
        <v>137</v>
      </c>
      <c r="C24" s="174" t="s">
        <v>377</v>
      </c>
      <c r="D24" s="174" t="s">
        <v>80</v>
      </c>
      <c r="E24" s="174" t="s">
        <v>100</v>
      </c>
      <c r="F24" s="177">
        <v>0</v>
      </c>
      <c r="G24" s="183">
        <f>+'M2'!F10</f>
        <v>0</v>
      </c>
      <c r="H24" s="183">
        <f>+'M2'!I10</f>
        <v>0</v>
      </c>
    </row>
    <row r="25" spans="1:9" ht="12.75" customHeight="1">
      <c r="A25" s="28" t="s">
        <v>378</v>
      </c>
      <c r="B25" s="190" t="s">
        <v>140</v>
      </c>
      <c r="C25" s="174" t="s">
        <v>379</v>
      </c>
      <c r="D25" s="174" t="s">
        <v>80</v>
      </c>
      <c r="E25" s="174" t="s">
        <v>100</v>
      </c>
      <c r="F25" s="177">
        <v>37.643000000000001</v>
      </c>
      <c r="G25" s="183">
        <f>+'M2'!F11</f>
        <v>37.643000000000001</v>
      </c>
      <c r="H25" s="183">
        <f>+'M2'!I11</f>
        <v>37.643000000000001</v>
      </c>
    </row>
    <row r="26" spans="1:9" ht="12.75" customHeight="1">
      <c r="A26" s="28" t="s">
        <v>380</v>
      </c>
      <c r="B26" s="190" t="s">
        <v>182</v>
      </c>
      <c r="C26" s="174" t="s">
        <v>381</v>
      </c>
      <c r="D26" s="174" t="s">
        <v>80</v>
      </c>
      <c r="E26" s="174" t="s">
        <v>100</v>
      </c>
      <c r="F26" s="177">
        <v>-0.89200000000000002</v>
      </c>
      <c r="G26" s="183">
        <f>+'M2'!F29</f>
        <v>0.86599999999999999</v>
      </c>
      <c r="H26" s="183">
        <f>+'M2'!I29</f>
        <v>1.05</v>
      </c>
    </row>
    <row r="27" spans="1:9" ht="12.75" customHeight="1">
      <c r="A27" s="28" t="s">
        <v>382</v>
      </c>
      <c r="B27" s="190" t="s">
        <v>185</v>
      </c>
      <c r="C27" s="174" t="s">
        <v>383</v>
      </c>
      <c r="D27" s="174" t="s">
        <v>80</v>
      </c>
      <c r="E27" s="174" t="s">
        <v>100</v>
      </c>
      <c r="F27" s="177">
        <v>0</v>
      </c>
      <c r="G27" s="183">
        <f>+'M2'!F30</f>
        <v>0</v>
      </c>
      <c r="H27" s="183">
        <f>+'M2'!I30</f>
        <v>0</v>
      </c>
    </row>
    <row r="28" spans="1:9" ht="12.75" customHeight="1">
      <c r="A28" s="28" t="s">
        <v>384</v>
      </c>
      <c r="B28" s="190" t="s">
        <v>385</v>
      </c>
      <c r="C28" s="174"/>
      <c r="D28" s="174" t="s">
        <v>80</v>
      </c>
      <c r="E28" s="174" t="s">
        <v>100</v>
      </c>
      <c r="F28" s="183">
        <f>SUM(F22:F27)</f>
        <v>36.750999999999998</v>
      </c>
      <c r="G28" s="183">
        <f>SUM(G22:G27)</f>
        <v>38.009</v>
      </c>
      <c r="H28" s="183">
        <f>SUM(H22:H27)</f>
        <v>38.192999999999998</v>
      </c>
    </row>
    <row r="29" spans="1:9" ht="12.75" customHeight="1">
      <c r="A29" s="194"/>
      <c r="B29" s="194"/>
      <c r="C29" s="194"/>
      <c r="D29" s="194"/>
      <c r="E29" s="194"/>
      <c r="F29" s="194"/>
      <c r="G29" s="194"/>
      <c r="H29" s="194"/>
    </row>
    <row r="30" spans="1:9" ht="12.75" customHeight="1">
      <c r="A30" s="61"/>
      <c r="B30" s="191" t="s">
        <v>386</v>
      </c>
    </row>
    <row r="31" spans="1:9" ht="12.75" customHeight="1">
      <c r="A31" s="28" t="s">
        <v>387</v>
      </c>
      <c r="B31" s="190" t="s">
        <v>372</v>
      </c>
      <c r="C31" s="174" t="s">
        <v>388</v>
      </c>
      <c r="D31" s="174" t="s">
        <v>80</v>
      </c>
      <c r="E31" s="174" t="s">
        <v>100</v>
      </c>
      <c r="F31" s="177">
        <v>-1</v>
      </c>
      <c r="G31" s="183">
        <f>+'M2'!F36</f>
        <v>-0.5</v>
      </c>
      <c r="H31" s="183">
        <f>+'M2'!I36</f>
        <v>0</v>
      </c>
    </row>
    <row r="32" spans="1:9" ht="12.75" customHeight="1">
      <c r="A32" s="28" t="s">
        <v>389</v>
      </c>
      <c r="B32" s="190" t="s">
        <v>390</v>
      </c>
      <c r="C32" s="174" t="s">
        <v>391</v>
      </c>
      <c r="D32" s="174" t="s">
        <v>80</v>
      </c>
      <c r="E32" s="174" t="s">
        <v>100</v>
      </c>
      <c r="F32" s="177">
        <v>-70.7</v>
      </c>
      <c r="G32" s="183">
        <f>+'M2'!F37</f>
        <v>-71.7</v>
      </c>
      <c r="H32" s="183">
        <f>+'M2'!I37</f>
        <v>-61.1</v>
      </c>
    </row>
    <row r="33" spans="1:9" ht="12.75" customHeight="1">
      <c r="A33" s="28" t="s">
        <v>392</v>
      </c>
      <c r="B33" s="190" t="s">
        <v>393</v>
      </c>
      <c r="C33" s="174"/>
      <c r="D33" s="174" t="s">
        <v>80</v>
      </c>
      <c r="E33" s="174" t="s">
        <v>100</v>
      </c>
      <c r="F33" s="183">
        <f>SUM(F31:F32)</f>
        <v>-71.7</v>
      </c>
      <c r="G33" s="183">
        <f>SUM(G31:G32)</f>
        <v>-72.2</v>
      </c>
      <c r="H33" s="183">
        <f>SUM(H31:H32)</f>
        <v>-61.1</v>
      </c>
    </row>
    <row r="34" spans="1:9" ht="12.75" customHeight="1">
      <c r="A34" s="67"/>
    </row>
    <row r="35" spans="1:9" ht="12.75" customHeight="1">
      <c r="A35" s="195"/>
      <c r="B35" s="191" t="s">
        <v>394</v>
      </c>
    </row>
    <row r="36" spans="1:9" ht="12.75" customHeight="1">
      <c r="A36" s="23" t="s">
        <v>395</v>
      </c>
      <c r="B36" s="192" t="s">
        <v>205</v>
      </c>
      <c r="C36" s="174" t="s">
        <v>396</v>
      </c>
      <c r="D36" s="174" t="s">
        <v>80</v>
      </c>
      <c r="E36" s="174" t="s">
        <v>100</v>
      </c>
      <c r="F36" s="177">
        <v>-387.75900000000001</v>
      </c>
      <c r="G36" s="183">
        <f>+'M2'!F41</f>
        <v>-404.45800000000003</v>
      </c>
      <c r="H36" s="183">
        <f>+'M2'!I41</f>
        <v>-466.23599999999999</v>
      </c>
    </row>
    <row r="37" spans="1:9" ht="12.75" customHeight="1">
      <c r="A37" s="23" t="s">
        <v>397</v>
      </c>
      <c r="B37" s="190" t="s">
        <v>398</v>
      </c>
      <c r="C37" s="174" t="s">
        <v>399</v>
      </c>
      <c r="D37" s="174" t="s">
        <v>80</v>
      </c>
      <c r="E37" s="174" t="s">
        <v>100</v>
      </c>
      <c r="F37" s="177">
        <v>-144.142</v>
      </c>
      <c r="G37" s="177">
        <v>-201.94300000000001</v>
      </c>
      <c r="H37" s="177">
        <f>-175.878-0.05</f>
        <v>-175.928</v>
      </c>
    </row>
    <row r="38" spans="1:9" ht="12.75" customHeight="1">
      <c r="A38" s="23" t="s">
        <v>400</v>
      </c>
      <c r="B38" s="190" t="s">
        <v>214</v>
      </c>
      <c r="C38" s="174" t="s">
        <v>401</v>
      </c>
      <c r="D38" s="174" t="s">
        <v>80</v>
      </c>
      <c r="E38" s="174" t="s">
        <v>100</v>
      </c>
      <c r="F38" s="177">
        <v>-21.062999999999999</v>
      </c>
      <c r="G38" s="177">
        <v>-33.651000000000003</v>
      </c>
      <c r="H38" s="177">
        <f>-31.663+0.05</f>
        <v>-31.613</v>
      </c>
      <c r="I38" s="170"/>
    </row>
    <row r="39" spans="1:9" ht="12.75" customHeight="1">
      <c r="A39" s="23" t="s">
        <v>402</v>
      </c>
      <c r="B39" s="190" t="s">
        <v>403</v>
      </c>
      <c r="C39" s="174" t="s">
        <v>379</v>
      </c>
      <c r="D39" s="174" t="s">
        <v>80</v>
      </c>
      <c r="E39" s="174" t="s">
        <v>100</v>
      </c>
      <c r="F39" s="196">
        <f>SUM(F36:F38)</f>
        <v>-552.96400000000006</v>
      </c>
      <c r="G39" s="196">
        <f>SUM(G36:G38)</f>
        <v>-640.05200000000002</v>
      </c>
      <c r="H39" s="196">
        <f>SUM(H36:H38)</f>
        <v>-673.77700000000004</v>
      </c>
    </row>
    <row r="40" spans="1:9" ht="12.75" customHeight="1">
      <c r="A40" s="23" t="s">
        <v>404</v>
      </c>
      <c r="B40" s="51" t="s">
        <v>405</v>
      </c>
      <c r="C40" s="174" t="s">
        <v>406</v>
      </c>
      <c r="D40" s="174" t="s">
        <v>80</v>
      </c>
      <c r="E40" s="174" t="s">
        <v>100</v>
      </c>
      <c r="F40" s="183">
        <f>+F19+F28+F33+F39</f>
        <v>5340.295000000001</v>
      </c>
      <c r="G40" s="183">
        <f>+G19+G28+G33+G39</f>
        <v>5509.47</v>
      </c>
      <c r="H40" s="183">
        <f>+H19+H28+H33+H39</f>
        <v>5784.33</v>
      </c>
    </row>
    <row r="41" spans="1:9" ht="13">
      <c r="A41" s="66"/>
      <c r="B41" s="16"/>
      <c r="D41" s="16"/>
      <c r="E41" s="16"/>
      <c r="F41" s="16"/>
      <c r="G41" s="16"/>
      <c r="H41" s="16"/>
    </row>
    <row r="42" spans="1:9" ht="13">
      <c r="A42" s="48"/>
      <c r="B42" s="188" t="s">
        <v>219</v>
      </c>
      <c r="D42" s="189"/>
      <c r="E42" s="189"/>
      <c r="F42" s="189"/>
      <c r="G42" s="189"/>
      <c r="H42" s="189"/>
    </row>
    <row r="43" spans="1:9">
      <c r="A43" s="23" t="s">
        <v>407</v>
      </c>
      <c r="B43" s="190" t="s">
        <v>408</v>
      </c>
      <c r="C43" s="174"/>
      <c r="D43" s="174" t="s">
        <v>80</v>
      </c>
      <c r="E43" s="174" t="s">
        <v>100</v>
      </c>
      <c r="F43" s="177">
        <v>3543.2750000000001</v>
      </c>
      <c r="G43" s="183">
        <f>+'M2'!F48</f>
        <v>3708.6149999999998</v>
      </c>
      <c r="H43" s="183">
        <f>+'M2'!I48</f>
        <v>3928.3719999999998</v>
      </c>
    </row>
    <row r="44" spans="1:9">
      <c r="A44" s="23" t="s">
        <v>409</v>
      </c>
      <c r="B44" s="190" t="s">
        <v>410</v>
      </c>
      <c r="C44" s="174"/>
      <c r="D44" s="174" t="s">
        <v>80</v>
      </c>
      <c r="E44" s="174" t="s">
        <v>237</v>
      </c>
      <c r="F44" s="177">
        <v>323.85500000000002</v>
      </c>
      <c r="G44" s="177">
        <v>302.15499999999997</v>
      </c>
      <c r="H44" s="177">
        <v>279.21499999999997</v>
      </c>
    </row>
    <row r="45" spans="1:9">
      <c r="A45" s="23" t="s">
        <v>411</v>
      </c>
      <c r="B45" s="190" t="s">
        <v>412</v>
      </c>
      <c r="C45" s="174" t="s">
        <v>413</v>
      </c>
      <c r="D45" s="174" t="s">
        <v>80</v>
      </c>
      <c r="E45" s="174" t="s">
        <v>237</v>
      </c>
      <c r="F45" s="177">
        <v>1339.7350000000001</v>
      </c>
      <c r="G45" s="177">
        <v>1365.27</v>
      </c>
      <c r="H45" s="177">
        <v>1443.3130000000001</v>
      </c>
      <c r="I45" s="173"/>
    </row>
    <row r="46" spans="1:9">
      <c r="A46" s="285" t="s">
        <v>414</v>
      </c>
      <c r="B46" s="190" t="s">
        <v>226</v>
      </c>
      <c r="C46" s="174" t="s">
        <v>415</v>
      </c>
      <c r="D46" s="174" t="s">
        <v>80</v>
      </c>
      <c r="E46" s="174" t="s">
        <v>100</v>
      </c>
      <c r="F46" s="177">
        <v>133.43</v>
      </c>
      <c r="G46" s="183">
        <f>+'M2'!F50</f>
        <v>133.43</v>
      </c>
      <c r="H46" s="183">
        <f>+'M2'!I50</f>
        <v>133.43</v>
      </c>
    </row>
    <row r="47" spans="1:9" ht="12.75" customHeight="1">
      <c r="A47" s="285" t="s">
        <v>416</v>
      </c>
      <c r="B47" s="51" t="s">
        <v>417</v>
      </c>
      <c r="C47" s="174" t="s">
        <v>418</v>
      </c>
      <c r="D47" s="174" t="s">
        <v>80</v>
      </c>
      <c r="E47" s="174" t="s">
        <v>100</v>
      </c>
      <c r="F47" s="183">
        <f>SUM(F43:F46)</f>
        <v>5340.2950000000001</v>
      </c>
      <c r="G47" s="183">
        <f>SUM(G43:G46)</f>
        <v>5509.4699999999993</v>
      </c>
      <c r="H47" s="183">
        <f>SUM(H43:H46)</f>
        <v>5784.33</v>
      </c>
    </row>
    <row r="48" spans="1:9" ht="13">
      <c r="A48" s="66"/>
      <c r="B48" s="19"/>
      <c r="C48" s="19"/>
      <c r="D48" s="19"/>
      <c r="E48" s="19"/>
    </row>
    <row r="49" spans="1:8" ht="13">
      <c r="A49" s="263"/>
      <c r="F49" s="170"/>
      <c r="G49" s="170"/>
      <c r="H49" s="170"/>
    </row>
    <row r="50" spans="1:8" ht="13">
      <c r="A50" s="66"/>
      <c r="B50" s="264"/>
      <c r="D50" s="265"/>
      <c r="E50" s="265"/>
      <c r="F50" s="265"/>
      <c r="G50" s="265"/>
      <c r="H50" s="266"/>
    </row>
    <row r="51" spans="1:8">
      <c r="A51" s="66"/>
      <c r="B51" s="271"/>
      <c r="C51" s="282"/>
      <c r="D51" s="265"/>
      <c r="E51" s="265"/>
      <c r="F51" s="266"/>
      <c r="G51" s="266"/>
      <c r="H51" s="266"/>
    </row>
    <row r="52" spans="1:8">
      <c r="B52" s="273"/>
      <c r="C52" s="272"/>
      <c r="D52" s="265"/>
      <c r="E52" s="265"/>
      <c r="F52" s="265"/>
      <c r="G52" s="265"/>
      <c r="H52" s="265"/>
    </row>
    <row r="53" spans="1:8" ht="13">
      <c r="B53" s="267"/>
      <c r="C53" s="272"/>
      <c r="D53" s="264"/>
      <c r="E53" s="264"/>
      <c r="F53" s="264"/>
      <c r="G53" s="268"/>
      <c r="H53" s="266"/>
    </row>
    <row r="54" spans="1:8" ht="13">
      <c r="G54" s="279"/>
      <c r="H54" s="279"/>
    </row>
    <row r="55" spans="1:8" ht="13">
      <c r="A55" s="269"/>
      <c r="B55" s="173"/>
      <c r="G55" s="279"/>
      <c r="H55" s="279"/>
    </row>
    <row r="56" spans="1:8" ht="13">
      <c r="G56" s="279"/>
      <c r="H56" s="279"/>
    </row>
    <row r="57" spans="1:8" ht="13">
      <c r="G57" s="279"/>
      <c r="H57" s="280"/>
    </row>
    <row r="58" spans="1:8" ht="13">
      <c r="G58" s="279"/>
      <c r="H58" s="280"/>
    </row>
    <row r="59" spans="1:8" ht="13">
      <c r="G59" s="279"/>
      <c r="H59" s="279"/>
    </row>
  </sheetData>
  <phoneticPr fontId="0" type="noConversion"/>
  <pageMargins left="0.74803149606299213" right="0.74803149606299213" top="0.79" bottom="0.79" header="0.51181102362204722" footer="0.51181102362204722"/>
  <pageSetup paperSize="9" scale="79" orientation="landscape" r:id="rId1"/>
  <headerFooter alignWithMargins="0">
    <oddFooter>&amp;RRegulatory Accounts - M tables 2010-11 v1.2&amp;L&amp;1#&amp;"Arial"&amp;11&amp;K000000SW Internal Commercial</oddFooter>
  </headerFooter>
  <ignoredErrors>
    <ignoredError sqref="A10:A12 A15:A19 A22:A28 A31:A33 A36:A40 A43:A45 A46:A47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I60"/>
  <sheetViews>
    <sheetView zoomScaleNormal="100" workbookViewId="0">
      <selection activeCell="D64" sqref="D64"/>
    </sheetView>
  </sheetViews>
  <sheetFormatPr defaultColWidth="8.81640625" defaultRowHeight="12.5"/>
  <cols>
    <col min="1" max="1" width="5.453125" style="180" customWidth="1"/>
    <col min="2" max="2" width="67.81640625" style="67" customWidth="1"/>
    <col min="3" max="3" width="12" style="67" customWidth="1"/>
    <col min="4" max="4" width="6.7265625" style="67" customWidth="1"/>
    <col min="5" max="5" width="6.453125" style="67" customWidth="1"/>
    <col min="6" max="8" width="9.7265625" style="67" customWidth="1"/>
    <col min="9" max="16384" width="8.81640625" style="67"/>
  </cols>
  <sheetData>
    <row r="1" spans="1:8" ht="15.5">
      <c r="B1" s="186"/>
      <c r="C1" s="186"/>
      <c r="D1" s="186"/>
      <c r="E1" s="186"/>
    </row>
    <row r="2" spans="1:8" ht="15.5">
      <c r="A2" s="179" t="s">
        <v>64</v>
      </c>
    </row>
    <row r="3" spans="1:8" ht="15.5">
      <c r="A3" s="179" t="s">
        <v>419</v>
      </c>
      <c r="C3" s="247"/>
    </row>
    <row r="4" spans="1:8" ht="15.5">
      <c r="A4" s="179" t="s">
        <v>420</v>
      </c>
    </row>
    <row r="5" spans="1:8" ht="15.5">
      <c r="B5" s="181"/>
      <c r="C5" s="181"/>
      <c r="D5" s="181"/>
      <c r="E5" s="181"/>
    </row>
    <row r="6" spans="1:8" ht="13">
      <c r="A6" s="460" t="s">
        <v>66</v>
      </c>
      <c r="B6" s="461" t="s">
        <v>67</v>
      </c>
      <c r="C6" s="288" t="s">
        <v>68</v>
      </c>
      <c r="D6" s="288" t="s">
        <v>69</v>
      </c>
      <c r="E6" s="462" t="s">
        <v>70</v>
      </c>
      <c r="F6" s="286" t="str">
        <f>reportminus2</f>
        <v>2017-18</v>
      </c>
      <c r="G6" s="286" t="str">
        <f>reportminus1</f>
        <v>2018-19</v>
      </c>
      <c r="H6" s="286" t="str">
        <f>reportyear</f>
        <v>2019-20</v>
      </c>
    </row>
    <row r="7" spans="1:8" ht="13">
      <c r="A7" s="481"/>
      <c r="B7" s="482"/>
      <c r="C7" s="483"/>
      <c r="D7" s="483"/>
      <c r="E7" s="466"/>
      <c r="F7" s="287"/>
      <c r="G7" s="287"/>
      <c r="H7" s="287"/>
    </row>
    <row r="8" spans="1:8" ht="13">
      <c r="A8" s="41"/>
      <c r="B8" s="158"/>
      <c r="C8" s="42" t="s">
        <v>72</v>
      </c>
      <c r="D8" s="42"/>
      <c r="E8" s="45" t="s">
        <v>73</v>
      </c>
      <c r="F8" s="290" t="s">
        <v>74</v>
      </c>
      <c r="G8" s="182" t="s">
        <v>74</v>
      </c>
      <c r="H8" s="182" t="s">
        <v>74</v>
      </c>
    </row>
    <row r="9" spans="1:8">
      <c r="A9" s="67"/>
    </row>
    <row r="10" spans="1:8" ht="13">
      <c r="A10" s="48"/>
      <c r="B10" s="188" t="s">
        <v>421</v>
      </c>
    </row>
    <row r="11" spans="1:8">
      <c r="A11" s="119">
        <v>6.1</v>
      </c>
      <c r="B11" s="121" t="str">
        <f>'M4'!B10</f>
        <v>Turnover</v>
      </c>
      <c r="C11" s="176" t="s">
        <v>422</v>
      </c>
      <c r="D11" s="119" t="s">
        <v>80</v>
      </c>
      <c r="E11" s="119" t="s">
        <v>100</v>
      </c>
      <c r="F11" s="154">
        <f>'M4'!F10</f>
        <v>1191.3300000000002</v>
      </c>
      <c r="G11" s="154">
        <f>'M4'!G10</f>
        <v>1216.896</v>
      </c>
      <c r="H11" s="154">
        <f>'M4'!H10</f>
        <v>1254.3879999999999</v>
      </c>
    </row>
    <row r="12" spans="1:8">
      <c r="A12" s="119">
        <v>6.2</v>
      </c>
      <c r="B12" s="121" t="str">
        <f>'M4'!B11</f>
        <v>Operating expenditure (excluding pension contributions)</v>
      </c>
      <c r="C12" s="121"/>
      <c r="D12" s="119" t="s">
        <v>80</v>
      </c>
      <c r="E12" s="119" t="s">
        <v>100</v>
      </c>
      <c r="F12" s="154">
        <f>'M4'!F11</f>
        <v>-368.44499999999999</v>
      </c>
      <c r="G12" s="154">
        <f>'M4'!G11</f>
        <v>-393.12400000000002</v>
      </c>
      <c r="H12" s="154">
        <f>'M4'!H11</f>
        <v>-383.97500000000002</v>
      </c>
    </row>
    <row r="13" spans="1:8">
      <c r="A13" s="119">
        <v>6.3</v>
      </c>
      <c r="B13" s="121" t="str">
        <f>'M4'!B12</f>
        <v>PPP operating costs (contract service costs)</v>
      </c>
      <c r="C13" s="121"/>
      <c r="D13" s="119" t="s">
        <v>80</v>
      </c>
      <c r="E13" s="119" t="s">
        <v>100</v>
      </c>
      <c r="F13" s="154">
        <f>'M4'!F12</f>
        <v>-117.43</v>
      </c>
      <c r="G13" s="154">
        <f>'M4'!G12</f>
        <v>-106.04300000000001</v>
      </c>
      <c r="H13" s="154">
        <f>'M4'!H12</f>
        <v>-125.42400000000001</v>
      </c>
    </row>
    <row r="14" spans="1:8">
      <c r="A14" s="119">
        <v>6.4</v>
      </c>
      <c r="B14" s="121" t="str">
        <f>'M4'!B13</f>
        <v>Scottish Water internal costs related to PPP contracts</v>
      </c>
      <c r="C14" s="121"/>
      <c r="D14" s="119" t="s">
        <v>80</v>
      </c>
      <c r="E14" s="119" t="s">
        <v>100</v>
      </c>
      <c r="F14" s="154">
        <f>'M4'!F13</f>
        <v>-0.63700000000000001</v>
      </c>
      <c r="G14" s="154">
        <f>'M4'!G13</f>
        <v>-0.72299999999999998</v>
      </c>
      <c r="H14" s="154">
        <f>'M4'!H13</f>
        <v>-0.60499999999999998</v>
      </c>
    </row>
    <row r="15" spans="1:8">
      <c r="A15" s="119">
        <v>6.5</v>
      </c>
      <c r="B15" s="121" t="str">
        <f>'M4'!B14</f>
        <v>Pension contributions (annual cash cost)</v>
      </c>
      <c r="C15" s="121"/>
      <c r="D15" s="119" t="s">
        <v>80</v>
      </c>
      <c r="E15" s="119" t="s">
        <v>100</v>
      </c>
      <c r="F15" s="154">
        <f>'M4'!F14</f>
        <v>-27.384</v>
      </c>
      <c r="G15" s="154">
        <f>'M4'!G14</f>
        <v>-35.024999999999999</v>
      </c>
      <c r="H15" s="154">
        <f>'M4'!H14</f>
        <v>-35.865000000000002</v>
      </c>
    </row>
    <row r="16" spans="1:8">
      <c r="A16" s="119">
        <v>6.6</v>
      </c>
      <c r="B16" s="121" t="str">
        <f>'M4'!B15</f>
        <v>Pension contributions (contribution to reduce the deficit)</v>
      </c>
      <c r="C16" s="121"/>
      <c r="D16" s="119" t="s">
        <v>80</v>
      </c>
      <c r="E16" s="119" t="s">
        <v>100</v>
      </c>
      <c r="F16" s="154">
        <f>'M4'!F15</f>
        <v>0</v>
      </c>
      <c r="G16" s="154">
        <f>'M4'!G15</f>
        <v>0</v>
      </c>
      <c r="H16" s="154">
        <f>'M4'!H15</f>
        <v>0</v>
      </c>
    </row>
    <row r="17" spans="1:9" ht="13">
      <c r="A17" s="119">
        <v>6.7</v>
      </c>
      <c r="B17" s="121" t="s">
        <v>423</v>
      </c>
      <c r="C17" s="121"/>
      <c r="D17" s="119" t="s">
        <v>80</v>
      </c>
      <c r="E17" s="119" t="s">
        <v>237</v>
      </c>
      <c r="F17" s="245">
        <v>-364.8</v>
      </c>
      <c r="G17" s="245">
        <v>-372.9</v>
      </c>
      <c r="H17" s="245">
        <v>-379.2</v>
      </c>
      <c r="I17" s="198"/>
    </row>
    <row r="18" spans="1:9">
      <c r="A18" s="119">
        <v>6.8</v>
      </c>
      <c r="B18" s="121" t="str">
        <f>'M4'!B20</f>
        <v>Amortisation of deferred income</v>
      </c>
      <c r="C18" s="121"/>
      <c r="D18" s="119" t="s">
        <v>80</v>
      </c>
      <c r="E18" s="119" t="s">
        <v>100</v>
      </c>
      <c r="F18" s="154">
        <f>'M4'!F20</f>
        <v>0.98599999999999999</v>
      </c>
      <c r="G18" s="154">
        <f>'M4'!G20</f>
        <v>0.98599999999999999</v>
      </c>
      <c r="H18" s="154">
        <f>'M4'!H20</f>
        <v>0.98599999999999999</v>
      </c>
    </row>
    <row r="19" spans="1:9">
      <c r="A19" s="119">
        <v>6.9</v>
      </c>
      <c r="B19" s="121" t="str">
        <f>'M4'!B21</f>
        <v>Operating income</v>
      </c>
      <c r="C19" s="121"/>
      <c r="D19" s="119" t="s">
        <v>80</v>
      </c>
      <c r="E19" s="119" t="s">
        <v>100</v>
      </c>
      <c r="F19" s="154">
        <f>'M4'!F21</f>
        <v>0</v>
      </c>
      <c r="G19" s="154">
        <f>'M4'!G21</f>
        <v>0</v>
      </c>
      <c r="H19" s="154">
        <f>'M4'!H21</f>
        <v>0</v>
      </c>
    </row>
    <row r="20" spans="1:9">
      <c r="A20" s="261">
        <v>6.1</v>
      </c>
      <c r="B20" s="121" t="s">
        <v>424</v>
      </c>
      <c r="C20" s="121"/>
      <c r="D20" s="119" t="s">
        <v>80</v>
      </c>
      <c r="E20" s="119" t="s">
        <v>100</v>
      </c>
      <c r="F20" s="154">
        <f>SUM(F11:F19)</f>
        <v>313.62000000000018</v>
      </c>
      <c r="G20" s="154">
        <f>SUM(G11:G19)</f>
        <v>310.06700000000001</v>
      </c>
      <c r="H20" s="154">
        <f>SUM(H11:H19)</f>
        <v>330.30499999999989</v>
      </c>
    </row>
    <row r="21" spans="1:9">
      <c r="A21" s="68"/>
      <c r="F21" s="170"/>
      <c r="G21" s="170"/>
      <c r="H21" s="170"/>
    </row>
    <row r="22" spans="1:9" ht="13">
      <c r="A22" s="259"/>
      <c r="B22" s="254" t="s">
        <v>425</v>
      </c>
      <c r="F22" s="170"/>
      <c r="G22" s="170"/>
      <c r="H22" s="170"/>
    </row>
    <row r="23" spans="1:9">
      <c r="A23" s="119">
        <v>6.11</v>
      </c>
      <c r="B23" s="121" t="s">
        <v>424</v>
      </c>
      <c r="C23" s="121"/>
      <c r="D23" s="119" t="s">
        <v>80</v>
      </c>
      <c r="E23" s="119" t="s">
        <v>100</v>
      </c>
      <c r="F23" s="154">
        <f>F20</f>
        <v>313.62000000000018</v>
      </c>
      <c r="G23" s="154">
        <f>G20</f>
        <v>310.06700000000001</v>
      </c>
      <c r="H23" s="154">
        <f>H20</f>
        <v>330.30499999999989</v>
      </c>
    </row>
    <row r="24" spans="1:9">
      <c r="A24" s="260">
        <v>6.12</v>
      </c>
      <c r="B24" s="253" t="s">
        <v>426</v>
      </c>
      <c r="C24" s="253"/>
      <c r="D24" s="119" t="s">
        <v>80</v>
      </c>
      <c r="E24" s="119" t="s">
        <v>237</v>
      </c>
      <c r="F24" s="245">
        <v>27.949000000000002</v>
      </c>
      <c r="G24" s="245">
        <v>6.2750000000000004</v>
      </c>
      <c r="H24" s="245">
        <v>-26.417999999999999</v>
      </c>
    </row>
    <row r="25" spans="1:9">
      <c r="A25" s="119">
        <v>6.13</v>
      </c>
      <c r="B25" s="121" t="str">
        <f>B17</f>
        <v>Capital maintenance charge</v>
      </c>
      <c r="C25" s="121"/>
      <c r="D25" s="119" t="s">
        <v>80</v>
      </c>
      <c r="E25" s="119" t="s">
        <v>100</v>
      </c>
      <c r="F25" s="154">
        <f t="shared" ref="F25:H26" si="0">-F17</f>
        <v>364.8</v>
      </c>
      <c r="G25" s="154">
        <f t="shared" si="0"/>
        <v>372.9</v>
      </c>
      <c r="H25" s="154">
        <f t="shared" si="0"/>
        <v>379.2</v>
      </c>
    </row>
    <row r="26" spans="1:9">
      <c r="A26" s="119">
        <v>6.14</v>
      </c>
      <c r="B26" s="121" t="str">
        <f>B18</f>
        <v>Amortisation of deferred income</v>
      </c>
      <c r="C26" s="121"/>
      <c r="D26" s="119" t="s">
        <v>80</v>
      </c>
      <c r="E26" s="119" t="s">
        <v>100</v>
      </c>
      <c r="F26" s="154">
        <f t="shared" si="0"/>
        <v>-0.98599999999999999</v>
      </c>
      <c r="G26" s="154">
        <f t="shared" si="0"/>
        <v>-0.98599999999999999</v>
      </c>
      <c r="H26" s="154">
        <f t="shared" si="0"/>
        <v>-0.98599999999999999</v>
      </c>
    </row>
    <row r="27" spans="1:9">
      <c r="A27" s="119">
        <v>6.15</v>
      </c>
      <c r="B27" s="121" t="s">
        <v>427</v>
      </c>
      <c r="C27" s="121"/>
      <c r="D27" s="119" t="s">
        <v>80</v>
      </c>
      <c r="E27" s="119" t="s">
        <v>237</v>
      </c>
      <c r="F27" s="245">
        <v>0</v>
      </c>
      <c r="G27" s="245">
        <v>0</v>
      </c>
      <c r="H27" s="245">
        <v>0</v>
      </c>
    </row>
    <row r="28" spans="1:9">
      <c r="A28" s="67"/>
      <c r="F28" s="170"/>
      <c r="G28" s="170"/>
      <c r="H28" s="170"/>
    </row>
    <row r="29" spans="1:9" ht="13">
      <c r="A29" s="285" t="s">
        <v>428</v>
      </c>
      <c r="B29" s="244" t="s">
        <v>429</v>
      </c>
      <c r="C29" s="176" t="s">
        <v>422</v>
      </c>
      <c r="D29" s="174" t="s">
        <v>80</v>
      </c>
      <c r="E29" s="174" t="s">
        <v>100</v>
      </c>
      <c r="F29" s="154">
        <f>SUM(F23:F27)</f>
        <v>705.38300000000015</v>
      </c>
      <c r="G29" s="154">
        <f>SUM(G23:G27)</f>
        <v>688.25599999999997</v>
      </c>
      <c r="H29" s="154">
        <f>SUM(H23:H27)</f>
        <v>682.10099999999989</v>
      </c>
    </row>
    <row r="30" spans="1:9">
      <c r="A30" s="66"/>
      <c r="B30" s="197"/>
      <c r="C30" s="197"/>
      <c r="D30" s="197"/>
      <c r="E30" s="197"/>
      <c r="F30" s="170"/>
      <c r="G30" s="170"/>
      <c r="H30" s="170"/>
    </row>
    <row r="31" spans="1:9" ht="13">
      <c r="A31" s="48"/>
      <c r="B31" s="188" t="s">
        <v>249</v>
      </c>
      <c r="C31" s="170"/>
      <c r="D31" s="170"/>
      <c r="E31" s="170"/>
      <c r="F31" s="170"/>
      <c r="G31" s="170"/>
      <c r="H31" s="170"/>
    </row>
    <row r="32" spans="1:9">
      <c r="A32" s="285" t="s">
        <v>430</v>
      </c>
      <c r="B32" s="175" t="s">
        <v>431</v>
      </c>
      <c r="C32" s="176" t="s">
        <v>432</v>
      </c>
      <c r="D32" s="174" t="s">
        <v>80</v>
      </c>
      <c r="E32" s="174" t="s">
        <v>237</v>
      </c>
      <c r="F32" s="143">
        <v>0</v>
      </c>
      <c r="G32" s="143">
        <v>-4.7229999999999999</v>
      </c>
      <c r="H32" s="143">
        <v>-10.757999999999999</v>
      </c>
    </row>
    <row r="33" spans="1:9">
      <c r="A33" s="66"/>
      <c r="F33" s="170"/>
      <c r="G33" s="170"/>
      <c r="H33" s="170"/>
    </row>
    <row r="34" spans="1:9" ht="13">
      <c r="A34" s="48"/>
      <c r="B34" s="188" t="s">
        <v>433</v>
      </c>
      <c r="C34" s="170"/>
      <c r="D34" s="170"/>
      <c r="E34" s="170"/>
      <c r="F34" s="170"/>
      <c r="G34" s="170"/>
      <c r="H34" s="170"/>
    </row>
    <row r="35" spans="1:9">
      <c r="A35" s="23" t="s">
        <v>434</v>
      </c>
      <c r="B35" s="175" t="s">
        <v>435</v>
      </c>
      <c r="C35" s="176" t="s">
        <v>436</v>
      </c>
      <c r="D35" s="174" t="s">
        <v>80</v>
      </c>
      <c r="E35" s="174" t="s">
        <v>237</v>
      </c>
      <c r="F35" s="143">
        <v>0.71299999999999997</v>
      </c>
      <c r="G35" s="143">
        <v>1.524</v>
      </c>
      <c r="H35" s="143">
        <v>1.96</v>
      </c>
    </row>
    <row r="36" spans="1:9">
      <c r="A36" s="23" t="s">
        <v>437</v>
      </c>
      <c r="B36" s="175" t="s">
        <v>438</v>
      </c>
      <c r="C36" s="176" t="s">
        <v>439</v>
      </c>
      <c r="D36" s="174" t="s">
        <v>80</v>
      </c>
      <c r="E36" s="174" t="s">
        <v>237</v>
      </c>
      <c r="F36" s="143">
        <v>-151.60299999999998</v>
      </c>
      <c r="G36" s="143">
        <v>-150.41900000000001</v>
      </c>
      <c r="H36" s="143">
        <v>-148.72300000000001</v>
      </c>
    </row>
    <row r="37" spans="1:9">
      <c r="A37" s="23" t="s">
        <v>440</v>
      </c>
      <c r="B37" s="175" t="s">
        <v>314</v>
      </c>
      <c r="C37" s="176"/>
      <c r="D37" s="174" t="s">
        <v>80</v>
      </c>
      <c r="E37" s="174" t="s">
        <v>100</v>
      </c>
      <c r="F37" s="154">
        <f>'M4'!F26</f>
        <v>-20.39</v>
      </c>
      <c r="G37" s="154">
        <f>'M4'!G26</f>
        <v>-19.2</v>
      </c>
      <c r="H37" s="154">
        <f>'M4'!H26</f>
        <v>-17.899999999999999</v>
      </c>
    </row>
    <row r="38" spans="1:9">
      <c r="A38" s="23" t="s">
        <v>441</v>
      </c>
      <c r="B38" s="200" t="s">
        <v>442</v>
      </c>
      <c r="C38" s="176"/>
      <c r="D38" s="174" t="s">
        <v>80</v>
      </c>
      <c r="E38" s="174" t="s">
        <v>237</v>
      </c>
      <c r="F38" s="245">
        <v>-20.47</v>
      </c>
      <c r="G38" s="245">
        <v>-21.7</v>
      </c>
      <c r="H38" s="245">
        <v>-22.94</v>
      </c>
    </row>
    <row r="39" spans="1:9">
      <c r="A39" s="23" t="s">
        <v>443</v>
      </c>
      <c r="B39" s="175" t="s">
        <v>444</v>
      </c>
      <c r="C39" s="176" t="s">
        <v>445</v>
      </c>
      <c r="D39" s="174" t="s">
        <v>80</v>
      </c>
      <c r="E39" s="174" t="s">
        <v>100</v>
      </c>
      <c r="F39" s="154">
        <f>SUM(F35:F38)</f>
        <v>-191.74999999999997</v>
      </c>
      <c r="G39" s="154">
        <f>SUM(G35:G38)</f>
        <v>-189.79499999999999</v>
      </c>
      <c r="H39" s="154">
        <f>SUM(H35:H38)</f>
        <v>-187.60300000000001</v>
      </c>
    </row>
    <row r="40" spans="1:9">
      <c r="A40" s="66"/>
      <c r="B40" s="197"/>
      <c r="C40" s="197"/>
      <c r="D40" s="197"/>
      <c r="E40" s="197"/>
      <c r="F40" s="170"/>
      <c r="G40" s="170"/>
      <c r="H40" s="170"/>
    </row>
    <row r="41" spans="1:9" ht="13">
      <c r="A41" s="23" t="s">
        <v>446</v>
      </c>
      <c r="B41" s="244" t="s">
        <v>447</v>
      </c>
      <c r="C41" s="175"/>
      <c r="D41" s="174" t="s">
        <v>80</v>
      </c>
      <c r="E41" s="174" t="s">
        <v>100</v>
      </c>
      <c r="F41" s="246">
        <f>+F29+F32+F39</f>
        <v>513.63300000000015</v>
      </c>
      <c r="G41" s="246">
        <f>+G29+G32+G39</f>
        <v>493.73800000000006</v>
      </c>
      <c r="H41" s="246">
        <f>+H29+H32+H39</f>
        <v>483.73999999999984</v>
      </c>
    </row>
    <row r="42" spans="1:9">
      <c r="A42" s="66"/>
      <c r="B42" s="197"/>
      <c r="C42" s="197"/>
      <c r="D42" s="197"/>
      <c r="E42" s="197"/>
      <c r="F42" s="170"/>
      <c r="G42" s="170"/>
      <c r="H42" s="170"/>
    </row>
    <row r="43" spans="1:9" ht="13">
      <c r="A43" s="48"/>
      <c r="B43" s="188" t="s">
        <v>448</v>
      </c>
      <c r="C43" s="170"/>
      <c r="D43" s="170"/>
      <c r="E43" s="170"/>
      <c r="F43" s="170"/>
      <c r="G43" s="170"/>
      <c r="H43" s="170"/>
    </row>
    <row r="44" spans="1:9" ht="13">
      <c r="A44" s="23" t="s">
        <v>449</v>
      </c>
      <c r="B44" s="262" t="s">
        <v>450</v>
      </c>
      <c r="C44" s="176"/>
      <c r="D44" s="174" t="s">
        <v>80</v>
      </c>
      <c r="E44" s="174" t="s">
        <v>237</v>
      </c>
      <c r="F44" s="143">
        <v>-221.76800000000003</v>
      </c>
      <c r="G44" s="143">
        <v>-252.321</v>
      </c>
      <c r="H44" s="143">
        <v>-296.505</v>
      </c>
      <c r="I44" s="278"/>
    </row>
    <row r="45" spans="1:9" ht="13">
      <c r="A45" s="23" t="s">
        <v>451</v>
      </c>
      <c r="B45" s="262" t="s">
        <v>452</v>
      </c>
      <c r="C45" s="176"/>
      <c r="D45" s="174" t="s">
        <v>80</v>
      </c>
      <c r="E45" s="174" t="s">
        <v>237</v>
      </c>
      <c r="F45" s="143">
        <v>-399.2</v>
      </c>
      <c r="G45" s="143">
        <v>-384.3</v>
      </c>
      <c r="H45" s="143">
        <v>-345</v>
      </c>
      <c r="I45" s="198"/>
    </row>
    <row r="46" spans="1:9">
      <c r="A46" s="23" t="s">
        <v>453</v>
      </c>
      <c r="B46" s="175" t="s">
        <v>454</v>
      </c>
      <c r="C46" s="176" t="s">
        <v>455</v>
      </c>
      <c r="D46" s="174" t="s">
        <v>80</v>
      </c>
      <c r="E46" s="174" t="s">
        <v>237</v>
      </c>
      <c r="F46" s="143">
        <v>15.728</v>
      </c>
      <c r="G46" s="143">
        <v>16.344000000000001</v>
      </c>
      <c r="H46" s="143">
        <v>17.637</v>
      </c>
    </row>
    <row r="47" spans="1:9">
      <c r="A47" s="23" t="s">
        <v>456</v>
      </c>
      <c r="B47" s="175" t="s">
        <v>457</v>
      </c>
      <c r="C47" s="176" t="s">
        <v>458</v>
      </c>
      <c r="D47" s="174" t="s">
        <v>80</v>
      </c>
      <c r="E47" s="174" t="s">
        <v>237</v>
      </c>
      <c r="F47" s="143">
        <v>7.0430000000000001</v>
      </c>
      <c r="G47" s="143">
        <v>1.4379999999999999</v>
      </c>
      <c r="H47" s="143">
        <v>1.4259999999999999</v>
      </c>
    </row>
    <row r="48" spans="1:9" s="198" customFormat="1" ht="13">
      <c r="A48" s="23" t="s">
        <v>459</v>
      </c>
      <c r="B48" s="175" t="s">
        <v>460</v>
      </c>
      <c r="C48" s="176" t="s">
        <v>461</v>
      </c>
      <c r="D48" s="174" t="s">
        <v>80</v>
      </c>
      <c r="E48" s="174" t="s">
        <v>100</v>
      </c>
      <c r="F48" s="154">
        <f>SUM(F44:F47)</f>
        <v>-598.19700000000012</v>
      </c>
      <c r="G48" s="154">
        <f>SUM(G44:G47)</f>
        <v>-618.83899999999994</v>
      </c>
      <c r="H48" s="154">
        <f>SUM(H44:H47)</f>
        <v>-622.44199999999989</v>
      </c>
    </row>
    <row r="49" spans="1:8" ht="13">
      <c r="A49" s="66"/>
      <c r="B49" s="35"/>
      <c r="C49" s="35"/>
      <c r="D49" s="35"/>
      <c r="E49" s="35"/>
      <c r="F49" s="15"/>
      <c r="G49" s="15"/>
      <c r="H49" s="15"/>
    </row>
    <row r="50" spans="1:8">
      <c r="A50" s="23" t="s">
        <v>462</v>
      </c>
      <c r="B50" s="199" t="s">
        <v>463</v>
      </c>
      <c r="C50" s="176" t="s">
        <v>464</v>
      </c>
      <c r="D50" s="174" t="s">
        <v>80</v>
      </c>
      <c r="E50" s="174" t="s">
        <v>100</v>
      </c>
      <c r="F50" s="154">
        <f>+F41+F48</f>
        <v>-84.563999999999965</v>
      </c>
      <c r="G50" s="154">
        <f>+G41+G48</f>
        <v>-125.10099999999989</v>
      </c>
      <c r="H50" s="154">
        <f>+H41+H48</f>
        <v>-138.70200000000006</v>
      </c>
    </row>
    <row r="51" spans="1:8">
      <c r="A51" s="66"/>
      <c r="F51" s="170"/>
      <c r="G51" s="170"/>
      <c r="H51" s="170"/>
    </row>
    <row r="52" spans="1:8" ht="13">
      <c r="A52" s="48"/>
      <c r="B52" s="188" t="s">
        <v>465</v>
      </c>
      <c r="C52" s="170"/>
      <c r="D52" s="170"/>
      <c r="E52" s="170"/>
      <c r="F52" s="170"/>
      <c r="G52" s="170"/>
      <c r="H52" s="170"/>
    </row>
    <row r="53" spans="1:8">
      <c r="A53" s="23" t="s">
        <v>466</v>
      </c>
      <c r="B53" s="200" t="s">
        <v>467</v>
      </c>
      <c r="C53" s="176"/>
      <c r="D53" s="174" t="s">
        <v>80</v>
      </c>
      <c r="E53" s="174" t="s">
        <v>237</v>
      </c>
      <c r="F53" s="143">
        <v>242.649</v>
      </c>
      <c r="G53" s="143">
        <v>288.291</v>
      </c>
      <c r="H53" s="143">
        <v>344.31200000000001</v>
      </c>
    </row>
    <row r="54" spans="1:8">
      <c r="A54" s="23" t="s">
        <v>468</v>
      </c>
      <c r="B54" s="200" t="s">
        <v>469</v>
      </c>
      <c r="C54" s="176"/>
      <c r="D54" s="174" t="s">
        <v>80</v>
      </c>
      <c r="E54" s="174" t="s">
        <v>237</v>
      </c>
      <c r="F54" s="143">
        <v>0</v>
      </c>
      <c r="G54" s="143">
        <v>0</v>
      </c>
      <c r="H54" s="143">
        <v>-0.5</v>
      </c>
    </row>
    <row r="55" spans="1:8">
      <c r="A55" s="23" t="s">
        <v>470</v>
      </c>
      <c r="B55" s="200" t="s">
        <v>471</v>
      </c>
      <c r="C55" s="176"/>
      <c r="D55" s="174" t="s">
        <v>80</v>
      </c>
      <c r="E55" s="174" t="s">
        <v>237</v>
      </c>
      <c r="F55" s="143">
        <v>-122.649</v>
      </c>
      <c r="G55" s="143">
        <v>-122.95099999999999</v>
      </c>
      <c r="H55" s="143">
        <v>-124.55500000000001</v>
      </c>
    </row>
    <row r="56" spans="1:8">
      <c r="A56" s="23" t="s">
        <v>472</v>
      </c>
      <c r="B56" s="200" t="s">
        <v>375</v>
      </c>
      <c r="C56" s="176"/>
      <c r="D56" s="174" t="s">
        <v>80</v>
      </c>
      <c r="E56" s="174" t="s">
        <v>237</v>
      </c>
      <c r="F56" s="143">
        <v>0</v>
      </c>
      <c r="G56" s="143">
        <v>0</v>
      </c>
      <c r="H56" s="143">
        <v>0</v>
      </c>
    </row>
    <row r="57" spans="1:8">
      <c r="A57" s="23" t="s">
        <v>473</v>
      </c>
      <c r="B57" s="199" t="s">
        <v>474</v>
      </c>
      <c r="C57" s="176" t="s">
        <v>475</v>
      </c>
      <c r="D57" s="174" t="s">
        <v>80</v>
      </c>
      <c r="E57" s="174" t="s">
        <v>100</v>
      </c>
      <c r="F57" s="154">
        <f>SUM(F53:F56)</f>
        <v>120</v>
      </c>
      <c r="G57" s="154">
        <f>SUM(G53:G56)</f>
        <v>165.34</v>
      </c>
      <c r="H57" s="154">
        <f>SUM(H53:H56)</f>
        <v>219.25700000000001</v>
      </c>
    </row>
    <row r="58" spans="1:8">
      <c r="A58" s="23" t="s">
        <v>476</v>
      </c>
      <c r="B58" s="199" t="s">
        <v>477</v>
      </c>
      <c r="C58" s="176" t="s">
        <v>478</v>
      </c>
      <c r="D58" s="174" t="s">
        <v>80</v>
      </c>
      <c r="E58" s="174" t="s">
        <v>100</v>
      </c>
      <c r="F58" s="154">
        <f>+F50+F57</f>
        <v>35.436000000000035</v>
      </c>
      <c r="G58" s="154">
        <f>+G50+G57</f>
        <v>40.239000000000118</v>
      </c>
      <c r="H58" s="154">
        <f>+H50+H57</f>
        <v>80.55499999999995</v>
      </c>
    </row>
    <row r="59" spans="1:8">
      <c r="A59" s="66"/>
      <c r="F59" s="170"/>
      <c r="G59" s="170"/>
      <c r="H59" s="170"/>
    </row>
    <row r="60" spans="1:8">
      <c r="A60" s="23" t="s">
        <v>479</v>
      </c>
      <c r="B60" s="199" t="s">
        <v>480</v>
      </c>
      <c r="C60" s="121"/>
      <c r="D60" s="119" t="s">
        <v>80</v>
      </c>
      <c r="E60" s="119" t="s">
        <v>100</v>
      </c>
      <c r="F60" s="154">
        <f>F57-F58</f>
        <v>84.563999999999965</v>
      </c>
      <c r="G60" s="154">
        <f>G57-G58</f>
        <v>125.10099999999989</v>
      </c>
      <c r="H60" s="154">
        <f>H57-H58</f>
        <v>138.70200000000006</v>
      </c>
    </row>
  </sheetData>
  <phoneticPr fontId="48" type="noConversion"/>
  <pageMargins left="0.59055118110236227" right="0.59055118110236227" top="0.59055118110236227" bottom="0.59055118110236227" header="0.39370078740157483" footer="0.39370078740157483"/>
  <pageSetup paperSize="9" scale="38" orientation="landscape" r:id="rId1"/>
  <headerFooter alignWithMargins="0">
    <oddFooter>&amp;L&amp;1#&amp;"Arial"&amp;11&amp;K000000SW Internal Commercial</oddFooter>
  </headerFooter>
  <ignoredErrors>
    <ignoredError sqref="A29 A32 A35:A39 A41 A44:A50 A59 A53:A58 A60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pageSetUpPr fitToPage="1"/>
  </sheetPr>
  <dimension ref="A1:H30"/>
  <sheetViews>
    <sheetView zoomScaleNormal="100" workbookViewId="0">
      <selection activeCell="J30" sqref="J30"/>
    </sheetView>
  </sheetViews>
  <sheetFormatPr defaultColWidth="8.81640625" defaultRowHeight="12.5"/>
  <cols>
    <col min="1" max="1" width="5.453125" customWidth="1"/>
    <col min="2" max="2" width="55.7265625" customWidth="1"/>
    <col min="3" max="3" width="18.7265625" customWidth="1"/>
    <col min="4" max="5" width="6.453125" customWidth="1"/>
    <col min="6" max="6" width="9.26953125" bestFit="1" customWidth="1"/>
    <col min="7" max="7" width="9.7265625" customWidth="1"/>
    <col min="8" max="8" width="9.26953125" bestFit="1" customWidth="1"/>
    <col min="9" max="9" width="3.7265625" customWidth="1"/>
    <col min="10" max="14" width="9" bestFit="1" customWidth="1"/>
  </cols>
  <sheetData>
    <row r="1" spans="1:8">
      <c r="A1" s="180"/>
    </row>
    <row r="2" spans="1:8" ht="15.5">
      <c r="A2" s="179" t="s">
        <v>64</v>
      </c>
    </row>
    <row r="3" spans="1:8" ht="15.5">
      <c r="A3" s="179" t="s">
        <v>481</v>
      </c>
    </row>
    <row r="4" spans="1:8" ht="15.5">
      <c r="A4" s="179" t="s">
        <v>420</v>
      </c>
    </row>
    <row r="6" spans="1:8" ht="13">
      <c r="A6" s="460" t="s">
        <v>66</v>
      </c>
      <c r="B6" s="461" t="s">
        <v>67</v>
      </c>
      <c r="C6" s="463" t="s">
        <v>482</v>
      </c>
      <c r="D6" s="288" t="s">
        <v>69</v>
      </c>
      <c r="E6" s="462" t="s">
        <v>70</v>
      </c>
      <c r="F6" s="286" t="str">
        <f>reportminus2</f>
        <v>2017-18</v>
      </c>
      <c r="G6" s="286" t="str">
        <f>reportminus1</f>
        <v>2018-19</v>
      </c>
      <c r="H6" s="286" t="str">
        <f>reportyear</f>
        <v>2019-20</v>
      </c>
    </row>
    <row r="7" spans="1:8" ht="13">
      <c r="A7" s="481"/>
      <c r="B7" s="482"/>
      <c r="C7" s="484"/>
      <c r="D7" s="483"/>
      <c r="E7" s="466" t="s">
        <v>73</v>
      </c>
      <c r="F7" s="287"/>
      <c r="G7" s="287"/>
      <c r="H7" s="287"/>
    </row>
    <row r="8" spans="1:8" ht="13">
      <c r="A8" s="41"/>
      <c r="B8" s="158"/>
      <c r="C8" s="42"/>
      <c r="D8" s="42"/>
      <c r="E8" s="45"/>
      <c r="F8" s="485" t="s">
        <v>74</v>
      </c>
      <c r="G8" s="187" t="s">
        <v>74</v>
      </c>
      <c r="H8" s="187" t="s">
        <v>74</v>
      </c>
    </row>
    <row r="10" spans="1:8">
      <c r="A10" s="64"/>
      <c r="B10" s="64" t="s">
        <v>483</v>
      </c>
      <c r="C10" s="119" t="s">
        <v>484</v>
      </c>
      <c r="D10" s="174" t="s">
        <v>80</v>
      </c>
      <c r="E10" s="174" t="s">
        <v>100</v>
      </c>
      <c r="F10" s="255">
        <f>+'M6'!F29</f>
        <v>705.38300000000015</v>
      </c>
      <c r="G10" s="255">
        <f>+'M6'!G29</f>
        <v>688.25599999999997</v>
      </c>
      <c r="H10" s="255">
        <f>+'M6'!H29</f>
        <v>682.10099999999989</v>
      </c>
    </row>
    <row r="11" spans="1:8">
      <c r="A11" s="64"/>
      <c r="B11" s="64" t="s">
        <v>485</v>
      </c>
      <c r="C11" s="119" t="s">
        <v>486</v>
      </c>
      <c r="D11" s="174" t="s">
        <v>80</v>
      </c>
      <c r="E11" s="174" t="s">
        <v>100</v>
      </c>
      <c r="F11" s="255">
        <f>+'M6'!F32</f>
        <v>0</v>
      </c>
      <c r="G11" s="255">
        <f>+'M6'!G32</f>
        <v>-4.7229999999999999</v>
      </c>
      <c r="H11" s="255">
        <f>+'M6'!H32</f>
        <v>-10.757999999999999</v>
      </c>
    </row>
    <row r="12" spans="1:8">
      <c r="A12" s="64"/>
      <c r="B12" s="64" t="s">
        <v>435</v>
      </c>
      <c r="C12" s="119" t="s">
        <v>487</v>
      </c>
      <c r="D12" s="174" t="s">
        <v>80</v>
      </c>
      <c r="E12" s="174" t="s">
        <v>100</v>
      </c>
      <c r="F12" s="255">
        <f>+'M6'!F35</f>
        <v>0.71299999999999997</v>
      </c>
      <c r="G12" s="255">
        <f>+'M6'!G35</f>
        <v>1.524</v>
      </c>
      <c r="H12" s="255">
        <f>+'M6'!H35</f>
        <v>1.96</v>
      </c>
    </row>
    <row r="13" spans="1:8">
      <c r="A13" s="64"/>
      <c r="B13" s="64" t="s">
        <v>488</v>
      </c>
      <c r="C13" s="119" t="s">
        <v>489</v>
      </c>
      <c r="D13" s="174" t="s">
        <v>80</v>
      </c>
      <c r="E13" s="174" t="s">
        <v>100</v>
      </c>
      <c r="F13" s="255">
        <f>+'M6'!F36+'M6'!F37</f>
        <v>-171.99299999999999</v>
      </c>
      <c r="G13" s="255">
        <f>+'M6'!G36+'M6'!G37</f>
        <v>-169.619</v>
      </c>
      <c r="H13" s="255">
        <f>+'M6'!H36+'M6'!H37</f>
        <v>-166.62300000000002</v>
      </c>
    </row>
    <row r="14" spans="1:8" ht="13">
      <c r="A14" s="64"/>
      <c r="B14" s="248" t="s">
        <v>490</v>
      </c>
      <c r="C14" s="119"/>
      <c r="D14" s="174" t="s">
        <v>80</v>
      </c>
      <c r="E14" s="174" t="s">
        <v>100</v>
      </c>
      <c r="F14" s="256">
        <f>SUM(F10:F13)</f>
        <v>534.10300000000007</v>
      </c>
      <c r="G14" s="256">
        <f>SUM(G10:G13)</f>
        <v>515.43799999999999</v>
      </c>
      <c r="H14" s="256">
        <f>SUM(H10:H13)</f>
        <v>506.67999999999984</v>
      </c>
    </row>
    <row r="15" spans="1:8">
      <c r="C15" s="68"/>
      <c r="F15" s="257"/>
      <c r="G15" s="257"/>
      <c r="H15" s="257"/>
    </row>
    <row r="16" spans="1:8">
      <c r="A16" s="64"/>
      <c r="B16" s="64" t="s">
        <v>452</v>
      </c>
      <c r="C16" s="119" t="s">
        <v>491</v>
      </c>
      <c r="D16" s="174" t="s">
        <v>80</v>
      </c>
      <c r="E16" s="174" t="s">
        <v>100</v>
      </c>
      <c r="F16" s="255">
        <f>'M6'!F45</f>
        <v>-399.2</v>
      </c>
      <c r="G16" s="255">
        <f>'M6'!G45</f>
        <v>-384.3</v>
      </c>
      <c r="H16" s="255">
        <f>'M6'!H45</f>
        <v>-345</v>
      </c>
    </row>
    <row r="17" spans="1:8">
      <c r="C17" s="68"/>
      <c r="F17" s="257"/>
      <c r="G17" s="257"/>
      <c r="H17" s="257"/>
    </row>
    <row r="18" spans="1:8" ht="13">
      <c r="A18" s="64"/>
      <c r="B18" s="248" t="s">
        <v>492</v>
      </c>
      <c r="C18" s="119"/>
      <c r="D18" s="174" t="s">
        <v>80</v>
      </c>
      <c r="E18" s="174" t="s">
        <v>100</v>
      </c>
      <c r="F18" s="256">
        <f>SUM(F14:F16)</f>
        <v>134.90300000000008</v>
      </c>
      <c r="G18" s="256">
        <f>SUM(G14:G16)</f>
        <v>131.13799999999998</v>
      </c>
      <c r="H18" s="256">
        <f>SUM(H14:H16)</f>
        <v>161.67999999999984</v>
      </c>
    </row>
    <row r="19" spans="1:8">
      <c r="C19" s="68"/>
      <c r="F19" s="258"/>
      <c r="G19" s="258"/>
      <c r="H19" s="258"/>
    </row>
    <row r="20" spans="1:8">
      <c r="A20" s="64"/>
      <c r="B20" s="64" t="s">
        <v>493</v>
      </c>
      <c r="C20" s="119" t="s">
        <v>494</v>
      </c>
      <c r="D20" s="174" t="s">
        <v>80</v>
      </c>
      <c r="E20" s="174" t="s">
        <v>100</v>
      </c>
      <c r="F20" s="255">
        <f>+'M5'!F16+'M5'!F17</f>
        <v>270.649</v>
      </c>
      <c r="G20" s="255">
        <f>+'M5'!G16+'M5'!G17</f>
        <v>310.88800000000003</v>
      </c>
      <c r="H20" s="255">
        <f>+'M5'!H16+'M5'!H17</f>
        <v>391.44299999999998</v>
      </c>
    </row>
    <row r="21" spans="1:8">
      <c r="A21" s="64"/>
      <c r="B21" s="64" t="s">
        <v>221</v>
      </c>
      <c r="C21" s="119" t="s">
        <v>495</v>
      </c>
      <c r="D21" s="174" t="s">
        <v>80</v>
      </c>
      <c r="E21" s="174" t="s">
        <v>100</v>
      </c>
      <c r="F21" s="255">
        <f>-'M5'!F43</f>
        <v>-3543.2750000000001</v>
      </c>
      <c r="G21" s="255">
        <f>-'M5'!G43</f>
        <v>-3708.6149999999998</v>
      </c>
      <c r="H21" s="255">
        <f>-'M5'!H43</f>
        <v>-3928.3719999999998</v>
      </c>
    </row>
    <row r="22" spans="1:8">
      <c r="A22" s="64"/>
      <c r="B22" s="64" t="s">
        <v>496</v>
      </c>
      <c r="C22" s="119" t="s">
        <v>497</v>
      </c>
      <c r="D22" s="174" t="s">
        <v>80</v>
      </c>
      <c r="E22" s="174" t="s">
        <v>100</v>
      </c>
      <c r="F22" s="255">
        <f>-'M5'!F44+'M5'!F22+'M5'!F31</f>
        <v>-324.85500000000002</v>
      </c>
      <c r="G22" s="255">
        <f>-'M5'!G44+'M5'!G22+'M5'!G31</f>
        <v>-303.15499999999997</v>
      </c>
      <c r="H22" s="255">
        <f>-'M5'!H44+'M5'!H22+'M5'!H31</f>
        <v>-279.71499999999997</v>
      </c>
    </row>
    <row r="23" spans="1:8">
      <c r="A23" s="64"/>
      <c r="B23" s="64" t="s">
        <v>498</v>
      </c>
      <c r="C23" s="119"/>
      <c r="D23" s="174" t="s">
        <v>80</v>
      </c>
      <c r="E23" s="174" t="s">
        <v>100</v>
      </c>
      <c r="F23" s="255">
        <f>SUM(F20:F22)</f>
        <v>-3597.4810000000002</v>
      </c>
      <c r="G23" s="255">
        <f>SUM(G20:G22)</f>
        <v>-3700.8819999999996</v>
      </c>
      <c r="H23" s="255">
        <f>SUM(H20:H22)</f>
        <v>-3816.6440000000002</v>
      </c>
    </row>
    <row r="24" spans="1:8">
      <c r="A24" s="64"/>
      <c r="B24" s="64" t="s">
        <v>499</v>
      </c>
      <c r="C24" s="119" t="s">
        <v>500</v>
      </c>
      <c r="D24" s="174" t="s">
        <v>80</v>
      </c>
      <c r="E24" s="174" t="s">
        <v>100</v>
      </c>
      <c r="F24" s="255">
        <f>'M5'!F37</f>
        <v>-144.142</v>
      </c>
      <c r="G24" s="255">
        <f>'M5'!G37</f>
        <v>-201.94300000000001</v>
      </c>
      <c r="H24" s="255">
        <f>'M5'!H37</f>
        <v>-175.928</v>
      </c>
    </row>
    <row r="25" spans="1:8" ht="13">
      <c r="A25" s="64"/>
      <c r="B25" s="248" t="s">
        <v>501</v>
      </c>
      <c r="C25" s="523"/>
      <c r="D25" s="174" t="s">
        <v>80</v>
      </c>
      <c r="E25" s="174" t="s">
        <v>100</v>
      </c>
      <c r="F25" s="256">
        <f>SUM(F23:F24)</f>
        <v>-3741.623</v>
      </c>
      <c r="G25" s="256">
        <f>SUM(G23:G24)</f>
        <v>-3902.8249999999998</v>
      </c>
      <c r="H25" s="256">
        <f>SUM(H23:H24)</f>
        <v>-3992.5720000000001</v>
      </c>
    </row>
    <row r="26" spans="1:8">
      <c r="C26" s="524"/>
    </row>
    <row r="27" spans="1:8" ht="13">
      <c r="A27" s="64"/>
      <c r="B27" s="249" t="s">
        <v>502</v>
      </c>
      <c r="C27" s="524"/>
    </row>
    <row r="28" spans="1:8" ht="13">
      <c r="A28" s="64"/>
      <c r="B28" s="250" t="s">
        <v>503</v>
      </c>
      <c r="C28" s="523"/>
      <c r="D28" s="65" t="s">
        <v>504</v>
      </c>
      <c r="E28" s="174" t="s">
        <v>100</v>
      </c>
      <c r="F28" s="251">
        <f>ROUND(F14/-F25,3)</f>
        <v>0.14299999999999999</v>
      </c>
      <c r="G28" s="251">
        <f>ROUND(G14/-G25,3)</f>
        <v>0.13200000000000001</v>
      </c>
      <c r="H28" s="251">
        <f>ROUND(H14/-H25,3)</f>
        <v>0.127</v>
      </c>
    </row>
    <row r="29" spans="1:8" ht="13">
      <c r="A29" s="64"/>
      <c r="B29" s="250" t="s">
        <v>505</v>
      </c>
      <c r="C29" s="523"/>
      <c r="D29" s="65" t="s">
        <v>504</v>
      </c>
      <c r="E29" s="174" t="s">
        <v>100</v>
      </c>
      <c r="F29" s="252">
        <f>ROUND(SUM(F10:F12)/-F13,1)</f>
        <v>4.0999999999999996</v>
      </c>
      <c r="G29" s="729">
        <f>ROUND(SUM(G10:G12)/-G13,1)</f>
        <v>4</v>
      </c>
      <c r="H29" s="729">
        <f>ROUND(SUM(H10:H12)/-H13,1)</f>
        <v>4</v>
      </c>
    </row>
    <row r="30" spans="1:8" ht="13">
      <c r="A30" s="64"/>
      <c r="B30" s="250" t="s">
        <v>506</v>
      </c>
      <c r="C30" s="523"/>
      <c r="D30" s="65" t="s">
        <v>504</v>
      </c>
      <c r="E30" s="174" t="s">
        <v>100</v>
      </c>
      <c r="F30" s="252">
        <f>ROUND((F18-F13)/-F13,1)</f>
        <v>1.8</v>
      </c>
      <c r="G30" s="252">
        <f>ROUND((G18-G13)/-G13,1)</f>
        <v>1.8</v>
      </c>
      <c r="H30" s="729">
        <f>ROUND((H18-H13)/-H13,1)</f>
        <v>2</v>
      </c>
    </row>
  </sheetData>
  <phoneticPr fontId="48" type="noConversion"/>
  <pageMargins left="0.75" right="0.75" top="1" bottom="1" header="0.5" footer="0.5"/>
  <pageSetup paperSize="9" orientation="landscape" r:id="rId1"/>
  <headerFooter alignWithMargins="0">
    <oddFooter>&amp;L&amp;1#&amp;"Arial"&amp;11&amp;K000000SW Internal Commercial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W41"/>
  <sheetViews>
    <sheetView zoomScale="85" zoomScaleNormal="85" zoomScaleSheetLayoutView="100" workbookViewId="0">
      <selection activeCell="T17" sqref="T17"/>
    </sheetView>
  </sheetViews>
  <sheetFormatPr defaultColWidth="9.1796875" defaultRowHeight="12.5"/>
  <cols>
    <col min="1" max="1" width="5.453125" style="144" customWidth="1"/>
    <col min="2" max="2" width="78.453125" style="10" bestFit="1" customWidth="1"/>
    <col min="3" max="3" width="9.26953125" style="10" bestFit="1" customWidth="1"/>
    <col min="4" max="5" width="5.453125" style="10" bestFit="1" customWidth="1"/>
    <col min="6" max="6" width="10.1796875" style="10" customWidth="1"/>
    <col min="7" max="7" width="11.7265625" style="10" bestFit="1" customWidth="1"/>
    <col min="8" max="8" width="13.81640625" style="10" bestFit="1" customWidth="1"/>
    <col min="9" max="9" width="13.453125" style="10" customWidth="1"/>
    <col min="10" max="10" width="11.7265625" style="10" bestFit="1" customWidth="1"/>
    <col min="11" max="11" width="13.81640625" style="10" bestFit="1" customWidth="1"/>
    <col min="12" max="12" width="11" style="10" customWidth="1"/>
    <col min="13" max="13" width="11.7265625" style="10" bestFit="1" customWidth="1"/>
    <col min="14" max="14" width="13.81640625" style="10" bestFit="1" customWidth="1"/>
    <col min="15" max="15" width="11.54296875" style="10" customWidth="1"/>
    <col min="16" max="16" width="12.54296875" style="10" customWidth="1"/>
    <col min="17" max="17" width="13.81640625" style="10" bestFit="1" customWidth="1"/>
    <col min="18" max="18" width="11.7265625" style="10" customWidth="1"/>
    <col min="19" max="19" width="11.7265625" style="10" bestFit="1" customWidth="1"/>
    <col min="20" max="20" width="13.81640625" style="10" bestFit="1" customWidth="1"/>
    <col min="21" max="16384" width="9.1796875" style="10"/>
  </cols>
  <sheetData>
    <row r="1" spans="1:23" ht="13">
      <c r="A1" s="66"/>
      <c r="B1" s="145"/>
      <c r="C1" s="145"/>
      <c r="D1" s="145"/>
      <c r="E1" s="145"/>
      <c r="F1" s="145"/>
      <c r="G1" s="145"/>
      <c r="H1" s="145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</row>
    <row r="2" spans="1:23" ht="15.5">
      <c r="A2" s="146" t="s">
        <v>64</v>
      </c>
      <c r="B2" s="145"/>
      <c r="C2" s="145"/>
      <c r="D2" s="145"/>
      <c r="E2" s="145"/>
      <c r="F2" s="145"/>
      <c r="G2" s="145"/>
      <c r="H2" s="145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1:23" s="147" customFormat="1" ht="15.5">
      <c r="A3" s="3" t="s">
        <v>507</v>
      </c>
      <c r="B3" s="55"/>
      <c r="C3" s="148"/>
      <c r="D3" s="148"/>
      <c r="E3" s="148"/>
      <c r="F3" s="148"/>
      <c r="G3" s="148"/>
      <c r="H3" s="148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</row>
    <row r="4" spans="1:23" ht="13">
      <c r="A4" s="66"/>
      <c r="B4" s="149"/>
      <c r="C4" s="149"/>
      <c r="D4" s="149"/>
      <c r="E4" s="149"/>
      <c r="F4" s="149"/>
      <c r="G4" s="149"/>
      <c r="H4" s="149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</row>
    <row r="5" spans="1:23" ht="13">
      <c r="A5" s="49" t="s">
        <v>66</v>
      </c>
      <c r="B5" s="38" t="s">
        <v>67</v>
      </c>
      <c r="C5" s="39" t="s">
        <v>68</v>
      </c>
      <c r="D5" s="39" t="s">
        <v>69</v>
      </c>
      <c r="E5" s="40" t="s">
        <v>70</v>
      </c>
      <c r="F5" s="849" t="str">
        <f>reportminus4</f>
        <v>2015-16</v>
      </c>
      <c r="G5" s="850"/>
      <c r="H5" s="851"/>
      <c r="I5" s="849" t="str">
        <f>reportminus3</f>
        <v>2016-17</v>
      </c>
      <c r="J5" s="850"/>
      <c r="K5" s="851"/>
      <c r="L5" s="849" t="str">
        <f>reportminus2</f>
        <v>2017-18</v>
      </c>
      <c r="M5" s="850"/>
      <c r="N5" s="851"/>
      <c r="O5" s="849" t="str">
        <f>reportminus1</f>
        <v>2018-19</v>
      </c>
      <c r="P5" s="850"/>
      <c r="Q5" s="851"/>
      <c r="R5" s="852" t="str">
        <f>reportyear</f>
        <v>2019-20</v>
      </c>
      <c r="S5" s="853"/>
      <c r="T5" s="486"/>
      <c r="U5" s="67"/>
      <c r="V5" s="67"/>
      <c r="W5" s="67"/>
    </row>
    <row r="6" spans="1:23" ht="13">
      <c r="A6" s="50"/>
      <c r="B6" s="158"/>
      <c r="C6" s="42" t="s">
        <v>72</v>
      </c>
      <c r="D6" s="42"/>
      <c r="E6" s="43" t="s">
        <v>73</v>
      </c>
      <c r="F6" s="27" t="s">
        <v>508</v>
      </c>
      <c r="G6" s="27" t="s">
        <v>509</v>
      </c>
      <c r="H6" s="27" t="s">
        <v>510</v>
      </c>
      <c r="I6" s="27" t="s">
        <v>508</v>
      </c>
      <c r="J6" s="27" t="s">
        <v>509</v>
      </c>
      <c r="K6" s="27" t="s">
        <v>510</v>
      </c>
      <c r="L6" s="27" t="s">
        <v>508</v>
      </c>
      <c r="M6" s="27" t="s">
        <v>509</v>
      </c>
      <c r="N6" s="27" t="s">
        <v>510</v>
      </c>
      <c r="O6" s="27" t="s">
        <v>508</v>
      </c>
      <c r="P6" s="27" t="s">
        <v>509</v>
      </c>
      <c r="Q6" s="27" t="s">
        <v>510</v>
      </c>
      <c r="R6" s="27" t="s">
        <v>508</v>
      </c>
      <c r="S6" s="27" t="s">
        <v>509</v>
      </c>
      <c r="T6" s="27" t="s">
        <v>510</v>
      </c>
      <c r="U6" s="67"/>
      <c r="V6" s="67"/>
      <c r="W6" s="67"/>
    </row>
    <row r="7" spans="1:23" s="11" customFormat="1" ht="13">
      <c r="A7" s="66"/>
      <c r="B7" s="35"/>
      <c r="C7" s="35"/>
      <c r="D7" s="35"/>
      <c r="E7" s="35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67"/>
      <c r="V7" s="67"/>
      <c r="W7" s="67"/>
    </row>
    <row r="8" spans="1:23" s="11" customFormat="1" ht="13">
      <c r="A8" s="195"/>
      <c r="B8" s="150" t="s">
        <v>78</v>
      </c>
      <c r="C8" s="151"/>
      <c r="D8" s="151"/>
      <c r="E8" s="151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5"/>
      <c r="R8" s="18"/>
      <c r="S8" s="18"/>
      <c r="T8" s="18"/>
      <c r="U8" s="67"/>
      <c r="V8" s="67"/>
      <c r="W8" s="67"/>
    </row>
    <row r="9" spans="1:23">
      <c r="A9" s="28" t="s">
        <v>511</v>
      </c>
      <c r="B9" s="152" t="s">
        <v>512</v>
      </c>
      <c r="C9" s="13"/>
      <c r="D9" s="153" t="s">
        <v>80</v>
      </c>
      <c r="E9" s="153" t="s">
        <v>100</v>
      </c>
      <c r="F9" s="142">
        <v>391.69799999999998</v>
      </c>
      <c r="G9" s="142">
        <v>428.97899999999998</v>
      </c>
      <c r="H9" s="17">
        <f t="shared" ref="H9:H16" si="0">+G9+F9</f>
        <v>820.67699999999991</v>
      </c>
      <c r="I9" s="142">
        <v>401.04500000000002</v>
      </c>
      <c r="J9" s="142">
        <v>438.976</v>
      </c>
      <c r="K9" s="17">
        <f t="shared" ref="K9:K16" si="1">+J9+I9</f>
        <v>840.02099999999996</v>
      </c>
      <c r="L9" s="142">
        <v>410.89100000000002</v>
      </c>
      <c r="M9" s="142">
        <v>449.97500000000002</v>
      </c>
      <c r="N9" s="17">
        <f t="shared" ref="N9:N16" si="2">+M9+L9</f>
        <v>860.86599999999999</v>
      </c>
      <c r="O9" s="142">
        <v>420.71499999999997</v>
      </c>
      <c r="P9" s="142">
        <v>460.98200000000003</v>
      </c>
      <c r="Q9" s="17">
        <f t="shared" ref="Q9:Q16" si="3">+P9+O9</f>
        <v>881.697</v>
      </c>
      <c r="R9" s="142">
        <v>431.17099999999999</v>
      </c>
      <c r="S9" s="142">
        <v>472.50200000000001</v>
      </c>
      <c r="T9" s="17">
        <f t="shared" ref="T9:T16" si="4">+S9+R9</f>
        <v>903.673</v>
      </c>
      <c r="U9" s="67"/>
      <c r="V9" s="170"/>
      <c r="W9" s="67"/>
    </row>
    <row r="10" spans="1:23">
      <c r="A10" s="23" t="s">
        <v>513</v>
      </c>
      <c r="B10" s="13" t="s">
        <v>514</v>
      </c>
      <c r="C10" s="13"/>
      <c r="D10" s="153" t="s">
        <v>80</v>
      </c>
      <c r="E10" s="153" t="s">
        <v>100</v>
      </c>
      <c r="F10" s="142">
        <v>0</v>
      </c>
      <c r="G10" s="142">
        <v>0</v>
      </c>
      <c r="H10" s="17">
        <f t="shared" si="0"/>
        <v>0</v>
      </c>
      <c r="I10" s="142">
        <v>0</v>
      </c>
      <c r="J10" s="142">
        <v>0</v>
      </c>
      <c r="K10" s="17">
        <f t="shared" si="1"/>
        <v>0</v>
      </c>
      <c r="L10" s="142">
        <v>0</v>
      </c>
      <c r="M10" s="142">
        <v>0</v>
      </c>
      <c r="N10" s="17">
        <f t="shared" si="2"/>
        <v>0</v>
      </c>
      <c r="O10" s="142">
        <v>0</v>
      </c>
      <c r="P10" s="142">
        <v>0</v>
      </c>
      <c r="Q10" s="17">
        <f t="shared" si="3"/>
        <v>0</v>
      </c>
      <c r="R10" s="142">
        <v>0</v>
      </c>
      <c r="S10" s="142">
        <v>0</v>
      </c>
      <c r="T10" s="17">
        <f t="shared" si="4"/>
        <v>0</v>
      </c>
      <c r="U10" s="67"/>
      <c r="V10" s="67"/>
      <c r="W10" s="67"/>
    </row>
    <row r="11" spans="1:23">
      <c r="A11" s="23" t="s">
        <v>515</v>
      </c>
      <c r="B11" s="13" t="s">
        <v>516</v>
      </c>
      <c r="C11" s="13"/>
      <c r="D11" s="153" t="s">
        <v>80</v>
      </c>
      <c r="E11" s="153" t="s">
        <v>100</v>
      </c>
      <c r="F11" s="142">
        <v>100.86199999999999</v>
      </c>
      <c r="G11" s="142">
        <v>190.64</v>
      </c>
      <c r="H11" s="17">
        <f t="shared" si="0"/>
        <v>291.50199999999995</v>
      </c>
      <c r="I11" s="142">
        <v>97.911000000000001</v>
      </c>
      <c r="J11" s="142">
        <v>200.36199999999999</v>
      </c>
      <c r="K11" s="17">
        <f t="shared" si="1"/>
        <v>298.27300000000002</v>
      </c>
      <c r="L11" s="142">
        <v>102.318</v>
      </c>
      <c r="M11" s="142">
        <v>218.15799999999999</v>
      </c>
      <c r="N11" s="17">
        <f t="shared" si="2"/>
        <v>320.476</v>
      </c>
      <c r="O11" s="142">
        <v>104.042</v>
      </c>
      <c r="P11" s="142">
        <v>219.52600000000001</v>
      </c>
      <c r="Q11" s="17">
        <f t="shared" si="3"/>
        <v>323.56799999999998</v>
      </c>
      <c r="R11" s="142">
        <v>107.133</v>
      </c>
      <c r="S11" s="142">
        <v>231.10900000000001</v>
      </c>
      <c r="T11" s="17">
        <f t="shared" si="4"/>
        <v>338.24200000000002</v>
      </c>
      <c r="U11" s="67"/>
      <c r="V11" s="170"/>
      <c r="W11" s="170"/>
    </row>
    <row r="12" spans="1:23">
      <c r="A12" s="23" t="s">
        <v>517</v>
      </c>
      <c r="B12" s="13" t="s">
        <v>518</v>
      </c>
      <c r="C12" s="13"/>
      <c r="D12" s="153" t="s">
        <v>80</v>
      </c>
      <c r="E12" s="153" t="s">
        <v>81</v>
      </c>
      <c r="F12" s="142">
        <v>0</v>
      </c>
      <c r="G12" s="142">
        <v>0</v>
      </c>
      <c r="H12" s="17">
        <f t="shared" si="0"/>
        <v>0</v>
      </c>
      <c r="I12" s="142">
        <v>0</v>
      </c>
      <c r="J12" s="142">
        <v>0</v>
      </c>
      <c r="K12" s="17">
        <f t="shared" si="1"/>
        <v>0</v>
      </c>
      <c r="L12" s="142">
        <v>0</v>
      </c>
      <c r="M12" s="142">
        <v>0</v>
      </c>
      <c r="N12" s="17">
        <f t="shared" si="2"/>
        <v>0</v>
      </c>
      <c r="O12" s="142">
        <v>0</v>
      </c>
      <c r="P12" s="142">
        <v>0</v>
      </c>
      <c r="Q12" s="17">
        <f t="shared" si="3"/>
        <v>0</v>
      </c>
      <c r="R12" s="142">
        <v>0</v>
      </c>
      <c r="S12" s="142">
        <v>0</v>
      </c>
      <c r="T12" s="17">
        <f t="shared" si="4"/>
        <v>0</v>
      </c>
      <c r="U12" s="67"/>
      <c r="V12" s="67"/>
      <c r="W12" s="67"/>
    </row>
    <row r="13" spans="1:23">
      <c r="A13" s="23" t="s">
        <v>519</v>
      </c>
      <c r="B13" s="13" t="s">
        <v>520</v>
      </c>
      <c r="C13" s="13"/>
      <c r="D13" s="153" t="s">
        <v>80</v>
      </c>
      <c r="E13" s="153" t="s">
        <v>81</v>
      </c>
      <c r="F13" s="142">
        <v>0</v>
      </c>
      <c r="G13" s="142">
        <v>0</v>
      </c>
      <c r="H13" s="17">
        <f t="shared" si="0"/>
        <v>0</v>
      </c>
      <c r="I13" s="142">
        <v>0</v>
      </c>
      <c r="J13" s="142">
        <v>0</v>
      </c>
      <c r="K13" s="17">
        <f t="shared" si="1"/>
        <v>0</v>
      </c>
      <c r="L13" s="142">
        <v>0</v>
      </c>
      <c r="M13" s="142">
        <v>0</v>
      </c>
      <c r="N13" s="17">
        <f t="shared" si="2"/>
        <v>0</v>
      </c>
      <c r="O13" s="142">
        <v>0</v>
      </c>
      <c r="P13" s="142">
        <v>0</v>
      </c>
      <c r="Q13" s="17">
        <f t="shared" si="3"/>
        <v>0</v>
      </c>
      <c r="R13" s="142">
        <v>0</v>
      </c>
      <c r="S13" s="142">
        <v>0</v>
      </c>
      <c r="T13" s="17">
        <f t="shared" si="4"/>
        <v>0</v>
      </c>
      <c r="U13" s="67"/>
      <c r="V13" s="67"/>
      <c r="W13" s="67"/>
    </row>
    <row r="14" spans="1:23">
      <c r="A14" s="23" t="s">
        <v>521</v>
      </c>
      <c r="B14" s="13" t="s">
        <v>522</v>
      </c>
      <c r="C14" s="13"/>
      <c r="D14" s="153" t="s">
        <v>80</v>
      </c>
      <c r="E14" s="153" t="s">
        <v>81</v>
      </c>
      <c r="F14" s="142">
        <v>0</v>
      </c>
      <c r="G14" s="142">
        <v>0</v>
      </c>
      <c r="H14" s="17">
        <f t="shared" si="0"/>
        <v>0</v>
      </c>
      <c r="I14" s="142">
        <v>0</v>
      </c>
      <c r="J14" s="142">
        <v>0</v>
      </c>
      <c r="K14" s="17">
        <f t="shared" si="1"/>
        <v>0</v>
      </c>
      <c r="L14" s="142">
        <v>0</v>
      </c>
      <c r="M14" s="142">
        <v>0</v>
      </c>
      <c r="N14" s="17">
        <f t="shared" si="2"/>
        <v>0</v>
      </c>
      <c r="O14" s="142">
        <v>0</v>
      </c>
      <c r="P14" s="142">
        <v>0</v>
      </c>
      <c r="Q14" s="17">
        <f t="shared" si="3"/>
        <v>0</v>
      </c>
      <c r="R14" s="142">
        <v>0</v>
      </c>
      <c r="S14" s="142">
        <v>0</v>
      </c>
      <c r="T14" s="17">
        <f t="shared" si="4"/>
        <v>0</v>
      </c>
      <c r="U14" s="67"/>
      <c r="V14" s="67"/>
      <c r="W14" s="67"/>
    </row>
    <row r="15" spans="1:23">
      <c r="A15" s="23" t="s">
        <v>523</v>
      </c>
      <c r="B15" s="13" t="s">
        <v>524</v>
      </c>
      <c r="C15" s="13"/>
      <c r="D15" s="153" t="s">
        <v>80</v>
      </c>
      <c r="E15" s="153" t="s">
        <v>100</v>
      </c>
      <c r="F15" s="142">
        <v>4.9610000000000003</v>
      </c>
      <c r="G15" s="142">
        <v>3.2160000000000002</v>
      </c>
      <c r="H15" s="17">
        <f t="shared" si="0"/>
        <v>8.1769999999999996</v>
      </c>
      <c r="I15" s="142">
        <v>7.47</v>
      </c>
      <c r="J15" s="142">
        <v>3.2250000000000001</v>
      </c>
      <c r="K15" s="17">
        <f t="shared" si="1"/>
        <v>10.695</v>
      </c>
      <c r="L15" s="142">
        <v>6.9420000000000002</v>
      </c>
      <c r="M15" s="142">
        <v>3.0459999999999998</v>
      </c>
      <c r="N15" s="17">
        <f t="shared" si="2"/>
        <v>9.9879999999999995</v>
      </c>
      <c r="O15" s="142">
        <v>8.3000000000000007</v>
      </c>
      <c r="P15" s="142">
        <v>3.331</v>
      </c>
      <c r="Q15" s="17">
        <f t="shared" si="3"/>
        <v>11.631</v>
      </c>
      <c r="R15" s="142">
        <v>9.2880000000000003</v>
      </c>
      <c r="S15" s="142">
        <v>3.1850000000000001</v>
      </c>
      <c r="T15" s="17">
        <f t="shared" si="4"/>
        <v>12.473000000000001</v>
      </c>
      <c r="U15" s="67"/>
      <c r="V15" s="170"/>
      <c r="W15" s="67"/>
    </row>
    <row r="16" spans="1:23">
      <c r="A16" s="23" t="s">
        <v>525</v>
      </c>
      <c r="B16" s="13" t="s">
        <v>526</v>
      </c>
      <c r="C16" s="13"/>
      <c r="D16" s="153" t="s">
        <v>80</v>
      </c>
      <c r="E16" s="153" t="s">
        <v>81</v>
      </c>
      <c r="F16" s="142">
        <v>0</v>
      </c>
      <c r="G16" s="142">
        <v>0</v>
      </c>
      <c r="H16" s="17">
        <f t="shared" si="0"/>
        <v>0</v>
      </c>
      <c r="I16" s="142">
        <v>0</v>
      </c>
      <c r="J16" s="142">
        <v>0</v>
      </c>
      <c r="K16" s="17">
        <f t="shared" si="1"/>
        <v>0</v>
      </c>
      <c r="L16" s="142">
        <v>0</v>
      </c>
      <c r="M16" s="142">
        <v>0</v>
      </c>
      <c r="N16" s="17">
        <f t="shared" si="2"/>
        <v>0</v>
      </c>
      <c r="O16" s="142">
        <v>0</v>
      </c>
      <c r="P16" s="142">
        <v>0</v>
      </c>
      <c r="Q16" s="17">
        <f t="shared" si="3"/>
        <v>0</v>
      </c>
      <c r="R16" s="142">
        <v>0</v>
      </c>
      <c r="S16" s="142">
        <v>0</v>
      </c>
      <c r="T16" s="17">
        <f t="shared" si="4"/>
        <v>0</v>
      </c>
      <c r="U16" s="67"/>
      <c r="V16" s="67"/>
      <c r="W16" s="67"/>
    </row>
    <row r="17" spans="1:22">
      <c r="A17" s="23" t="s">
        <v>527</v>
      </c>
      <c r="B17" s="13" t="s">
        <v>528</v>
      </c>
      <c r="C17" s="153" t="s">
        <v>529</v>
      </c>
      <c r="D17" s="153" t="s">
        <v>80</v>
      </c>
      <c r="E17" s="153" t="s">
        <v>100</v>
      </c>
      <c r="F17" s="17">
        <f>SUM(F9:F16)</f>
        <v>497.52099999999996</v>
      </c>
      <c r="G17" s="17">
        <f>SUM(G9:G16)</f>
        <v>622.83499999999992</v>
      </c>
      <c r="H17" s="17">
        <f>SUM(H9:H16)</f>
        <v>1120.3559999999998</v>
      </c>
      <c r="I17" s="17">
        <f t="shared" ref="I17:N17" si="5">SUM(I9:I16)</f>
        <v>506.42600000000004</v>
      </c>
      <c r="J17" s="17">
        <f t="shared" si="5"/>
        <v>642.56299999999999</v>
      </c>
      <c r="K17" s="17">
        <f t="shared" si="5"/>
        <v>1148.9889999999998</v>
      </c>
      <c r="L17" s="17">
        <f t="shared" si="5"/>
        <v>520.15100000000007</v>
      </c>
      <c r="M17" s="17">
        <f t="shared" si="5"/>
        <v>671.17900000000009</v>
      </c>
      <c r="N17" s="17">
        <f t="shared" si="5"/>
        <v>1191.3300000000002</v>
      </c>
      <c r="O17" s="17">
        <f t="shared" ref="O17:T17" si="6">SUM(O9:O16)</f>
        <v>533.0569999999999</v>
      </c>
      <c r="P17" s="17">
        <f t="shared" si="6"/>
        <v>683.83900000000006</v>
      </c>
      <c r="Q17" s="17">
        <f t="shared" si="6"/>
        <v>1216.896</v>
      </c>
      <c r="R17" s="17">
        <f t="shared" si="6"/>
        <v>547.59199999999998</v>
      </c>
      <c r="S17" s="17">
        <f t="shared" si="6"/>
        <v>706.79599999999994</v>
      </c>
      <c r="T17" s="17">
        <f t="shared" si="6"/>
        <v>1254.3879999999999</v>
      </c>
      <c r="U17" s="67"/>
      <c r="V17" s="67"/>
    </row>
    <row r="18" spans="1:22" s="11" customFormat="1" ht="13">
      <c r="A18" s="66"/>
      <c r="B18" s="35"/>
      <c r="C18" s="35"/>
      <c r="D18" s="35"/>
      <c r="E18" s="35"/>
      <c r="F18" s="18"/>
      <c r="G18"/>
      <c r="H18"/>
      <c r="I18" s="18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pans="1:22" s="11" customFormat="1" ht="13">
      <c r="A19" s="195"/>
      <c r="B19" s="150" t="s">
        <v>95</v>
      </c>
      <c r="C19" s="67"/>
      <c r="D19" s="67"/>
      <c r="E19" s="67"/>
      <c r="F19" s="67"/>
      <c r="G19" s="67"/>
      <c r="H19" s="67"/>
      <c r="I19" s="67"/>
      <c r="J19" s="67"/>
      <c r="K19" s="170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spans="1:22">
      <c r="A20" s="23" t="s">
        <v>530</v>
      </c>
      <c r="B20" s="13" t="s">
        <v>531</v>
      </c>
      <c r="C20" s="153" t="s">
        <v>532</v>
      </c>
      <c r="D20" s="153" t="s">
        <v>80</v>
      </c>
      <c r="E20" s="153" t="s">
        <v>81</v>
      </c>
      <c r="F20" s="142"/>
      <c r="G20" s="142"/>
      <c r="H20" s="154">
        <f>SUM(F20:G20)</f>
        <v>0</v>
      </c>
      <c r="I20" s="142"/>
      <c r="J20" s="142"/>
      <c r="K20" s="154">
        <f>SUM(I20:J20)</f>
        <v>0</v>
      </c>
      <c r="L20" s="142"/>
      <c r="M20" s="142"/>
      <c r="N20" s="154">
        <f>SUM(L20:M20)</f>
        <v>0</v>
      </c>
      <c r="O20" s="142"/>
      <c r="P20" s="142"/>
      <c r="Q20" s="154">
        <f>SUM(O20:P20)</f>
        <v>0</v>
      </c>
      <c r="R20" s="142"/>
      <c r="S20" s="142"/>
      <c r="T20" s="154">
        <f>SUM(R20:S20)</f>
        <v>0</v>
      </c>
      <c r="U20" s="67"/>
      <c r="V20" s="67"/>
    </row>
    <row r="21" spans="1:22">
      <c r="A21" s="23" t="s">
        <v>533</v>
      </c>
      <c r="B21" s="13" t="s">
        <v>534</v>
      </c>
      <c r="C21" s="153" t="s">
        <v>535</v>
      </c>
      <c r="D21" s="153" t="s">
        <v>80</v>
      </c>
      <c r="E21" s="153" t="s">
        <v>81</v>
      </c>
      <c r="F21" s="142"/>
      <c r="G21" s="142"/>
      <c r="H21" s="154">
        <f>SUM(F21:G21)</f>
        <v>0</v>
      </c>
      <c r="I21" s="142"/>
      <c r="J21" s="142"/>
      <c r="K21" s="154">
        <f>SUM(I21:J21)</f>
        <v>0</v>
      </c>
      <c r="L21" s="142"/>
      <c r="M21" s="142"/>
      <c r="N21" s="154">
        <f>SUM(L21:M21)</f>
        <v>0</v>
      </c>
      <c r="O21" s="142"/>
      <c r="P21" s="142"/>
      <c r="Q21" s="154">
        <f>SUM(O21:P21)</f>
        <v>0</v>
      </c>
      <c r="R21" s="142"/>
      <c r="S21" s="142"/>
      <c r="T21" s="154">
        <f>SUM(R21:S21)</f>
        <v>0</v>
      </c>
      <c r="U21" s="67"/>
      <c r="V21" s="67"/>
    </row>
    <row r="22" spans="1:22">
      <c r="A22" s="23" t="s">
        <v>536</v>
      </c>
      <c r="B22" s="13" t="s">
        <v>537</v>
      </c>
      <c r="C22" s="153" t="s">
        <v>538</v>
      </c>
      <c r="D22" s="153" t="s">
        <v>80</v>
      </c>
      <c r="E22" s="153" t="s">
        <v>100</v>
      </c>
      <c r="F22" s="17">
        <f>SUM(F20:F21)</f>
        <v>0</v>
      </c>
      <c r="G22" s="17">
        <f>SUM(G20:G21)</f>
        <v>0</v>
      </c>
      <c r="H22" s="17">
        <f>SUM(H20:H21)</f>
        <v>0</v>
      </c>
      <c r="I22" s="17">
        <f t="shared" ref="I22:T22" si="7">SUM(I20:I21)</f>
        <v>0</v>
      </c>
      <c r="J22" s="17">
        <f t="shared" si="7"/>
        <v>0</v>
      </c>
      <c r="K22" s="17">
        <f t="shared" si="7"/>
        <v>0</v>
      </c>
      <c r="L22" s="17">
        <f t="shared" si="7"/>
        <v>0</v>
      </c>
      <c r="M22" s="17">
        <f t="shared" si="7"/>
        <v>0</v>
      </c>
      <c r="N22" s="17">
        <f t="shared" si="7"/>
        <v>0</v>
      </c>
      <c r="O22" s="17">
        <f t="shared" si="7"/>
        <v>0</v>
      </c>
      <c r="P22" s="17">
        <f t="shared" si="7"/>
        <v>0</v>
      </c>
      <c r="Q22" s="17">
        <f t="shared" si="7"/>
        <v>0</v>
      </c>
      <c r="R22" s="17">
        <f t="shared" si="7"/>
        <v>0</v>
      </c>
      <c r="S22" s="17">
        <f t="shared" si="7"/>
        <v>0</v>
      </c>
      <c r="T22" s="17">
        <f t="shared" si="7"/>
        <v>0</v>
      </c>
      <c r="U22" s="67"/>
      <c r="V22" s="67"/>
    </row>
    <row r="23" spans="1:22" s="11" customFormat="1" ht="13">
      <c r="A23" s="67"/>
      <c r="B23" s="35"/>
      <c r="C23" s="35"/>
      <c r="D23" s="35"/>
      <c r="E23" s="35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67"/>
      <c r="V23" s="67"/>
    </row>
    <row r="24" spans="1:22" ht="13">
      <c r="A24" s="195"/>
      <c r="B24" s="150" t="s">
        <v>539</v>
      </c>
      <c r="C24" s="169"/>
      <c r="D24" s="169"/>
      <c r="E24" s="169"/>
      <c r="F24"/>
      <c r="G24"/>
      <c r="H24"/>
      <c r="I24" s="67"/>
      <c r="J24" s="67"/>
      <c r="K24" s="67"/>
      <c r="L24" s="67"/>
      <c r="M24" s="67"/>
      <c r="N24" s="67"/>
      <c r="O24" s="67"/>
      <c r="P24" s="67"/>
      <c r="Q24" s="170"/>
      <c r="R24" s="67"/>
      <c r="S24" s="67"/>
      <c r="T24" s="67"/>
      <c r="U24" s="67"/>
      <c r="V24" s="67"/>
    </row>
    <row r="25" spans="1:22" ht="13">
      <c r="A25" s="23" t="s">
        <v>540</v>
      </c>
      <c r="B25" s="13" t="s">
        <v>541</v>
      </c>
      <c r="C25" s="13"/>
      <c r="D25" s="153" t="s">
        <v>80</v>
      </c>
      <c r="E25" s="153" t="s">
        <v>81</v>
      </c>
      <c r="F25" s="142"/>
      <c r="G25" s="142"/>
      <c r="H25" s="542">
        <v>12.923999999999999</v>
      </c>
      <c r="I25" s="142"/>
      <c r="J25" s="142"/>
      <c r="K25" s="542">
        <v>13.131</v>
      </c>
      <c r="L25" s="142"/>
      <c r="M25" s="142"/>
      <c r="N25" s="542">
        <v>13.44</v>
      </c>
      <c r="O25" s="142"/>
      <c r="P25" s="142"/>
      <c r="Q25" s="542">
        <v>13.773999999999999</v>
      </c>
      <c r="R25" s="142"/>
      <c r="S25" s="142"/>
      <c r="T25" s="542">
        <v>14.106999999999999</v>
      </c>
      <c r="U25" s="67"/>
      <c r="V25" s="67"/>
    </row>
    <row r="26" spans="1:22" ht="13">
      <c r="A26" s="23" t="s">
        <v>542</v>
      </c>
      <c r="B26" s="13" t="s">
        <v>543</v>
      </c>
      <c r="C26" s="13"/>
      <c r="D26" s="153" t="s">
        <v>80</v>
      </c>
      <c r="E26" s="153" t="s">
        <v>81</v>
      </c>
      <c r="F26" s="142"/>
      <c r="G26" s="142"/>
      <c r="H26" s="542">
        <v>5.3</v>
      </c>
      <c r="I26" s="142"/>
      <c r="J26" s="142"/>
      <c r="K26" s="542">
        <v>7.1390000000000002</v>
      </c>
      <c r="L26" s="142"/>
      <c r="M26" s="142"/>
      <c r="N26" s="542">
        <v>6.8879999999999999</v>
      </c>
      <c r="O26" s="142"/>
      <c r="P26" s="142"/>
      <c r="Q26" s="542">
        <v>6.8869999999999996</v>
      </c>
      <c r="R26" s="142"/>
      <c r="S26" s="142"/>
      <c r="T26" s="542">
        <v>8.2880000000000003</v>
      </c>
      <c r="U26" s="67"/>
      <c r="V26" s="170"/>
    </row>
    <row r="27" spans="1:22" ht="13">
      <c r="A27" s="23" t="s">
        <v>544</v>
      </c>
      <c r="B27" s="13" t="s">
        <v>545</v>
      </c>
      <c r="C27" s="13"/>
      <c r="D27" s="153" t="s">
        <v>80</v>
      </c>
      <c r="E27" s="153" t="s">
        <v>81</v>
      </c>
      <c r="F27" s="142"/>
      <c r="G27" s="142"/>
      <c r="H27" s="542">
        <v>1.679</v>
      </c>
      <c r="I27" s="142"/>
      <c r="J27" s="142"/>
      <c r="K27" s="542">
        <v>-0.92600000000000005</v>
      </c>
      <c r="L27" s="142"/>
      <c r="M27" s="142"/>
      <c r="N27" s="542">
        <v>0.51700000000000002</v>
      </c>
      <c r="O27" s="142"/>
      <c r="P27" s="142"/>
      <c r="Q27" s="542">
        <v>0.17</v>
      </c>
      <c r="R27" s="142"/>
      <c r="S27" s="142"/>
      <c r="T27" s="542">
        <v>-0.41899999999999998</v>
      </c>
      <c r="U27" s="67"/>
      <c r="V27" s="170"/>
    </row>
    <row r="28" spans="1:22">
      <c r="A28" s="23" t="s">
        <v>546</v>
      </c>
      <c r="B28" s="13" t="s">
        <v>547</v>
      </c>
      <c r="C28" s="13"/>
      <c r="D28" s="153" t="s">
        <v>80</v>
      </c>
      <c r="E28" s="153" t="s">
        <v>100</v>
      </c>
      <c r="F28" s="17">
        <f>SUM(F25:F27)</f>
        <v>0</v>
      </c>
      <c r="G28" s="17">
        <f>SUM(G25:G27)</f>
        <v>0</v>
      </c>
      <c r="H28" s="17">
        <f>SUM(H25:H27)</f>
        <v>19.902999999999999</v>
      </c>
      <c r="I28" s="17">
        <f>SUM(I25:I27)</f>
        <v>0</v>
      </c>
      <c r="J28" s="17">
        <f t="shared" ref="J28:T28" si="8">SUM(J25:J27)</f>
        <v>0</v>
      </c>
      <c r="K28" s="17">
        <f t="shared" si="8"/>
        <v>19.344000000000001</v>
      </c>
      <c r="L28" s="17">
        <f t="shared" si="8"/>
        <v>0</v>
      </c>
      <c r="M28" s="17">
        <f t="shared" si="8"/>
        <v>0</v>
      </c>
      <c r="N28" s="17">
        <f t="shared" si="8"/>
        <v>20.844999999999999</v>
      </c>
      <c r="O28" s="17">
        <f t="shared" si="8"/>
        <v>0</v>
      </c>
      <c r="P28" s="17">
        <f t="shared" si="8"/>
        <v>0</v>
      </c>
      <c r="Q28" s="17">
        <f t="shared" si="8"/>
        <v>20.831</v>
      </c>
      <c r="R28" s="17">
        <f t="shared" si="8"/>
        <v>0</v>
      </c>
      <c r="S28" s="17">
        <f t="shared" si="8"/>
        <v>0</v>
      </c>
      <c r="T28" s="17">
        <f t="shared" si="8"/>
        <v>21.975999999999999</v>
      </c>
      <c r="U28" s="67"/>
      <c r="V28" s="67"/>
    </row>
    <row r="29" spans="1:22">
      <c r="A29" s="67"/>
      <c r="B29" s="67"/>
      <c r="C29"/>
      <c r="D29"/>
      <c r="E29" s="67"/>
      <c r="F29" s="67"/>
      <c r="G29" s="67"/>
      <c r="H29" s="67"/>
      <c r="I29" s="67"/>
      <c r="J29" s="67"/>
      <c r="K29" s="67"/>
      <c r="L29" s="67"/>
      <c r="M29" s="67"/>
      <c r="N29" s="170"/>
      <c r="O29" s="67"/>
      <c r="P29" s="67"/>
      <c r="Q29" s="170"/>
      <c r="R29" s="67"/>
      <c r="S29" s="67"/>
      <c r="T29" s="170"/>
      <c r="U29" s="67"/>
      <c r="V29" s="67"/>
    </row>
    <row r="30" spans="1:22" ht="13">
      <c r="A30" s="195"/>
      <c r="B30" s="150" t="s">
        <v>548</v>
      </c>
      <c r="C30" s="169"/>
      <c r="D30" s="169"/>
      <c r="E30" s="169"/>
      <c r="F30"/>
      <c r="G30"/>
      <c r="H30"/>
      <c r="I30" s="67"/>
      <c r="J30" s="67"/>
      <c r="K30" s="67"/>
      <c r="L30" s="67"/>
      <c r="M30" s="67"/>
      <c r="N30" s="67"/>
      <c r="O30" s="67"/>
      <c r="P30" s="67"/>
      <c r="Q30" s="170"/>
      <c r="R30" s="67"/>
      <c r="S30" s="67"/>
      <c r="T30" s="67"/>
      <c r="U30" s="67"/>
      <c r="V30" s="67"/>
    </row>
    <row r="31" spans="1:22" ht="13">
      <c r="A31" s="23" t="s">
        <v>549</v>
      </c>
      <c r="B31" s="13" t="s">
        <v>541</v>
      </c>
      <c r="C31" s="13"/>
      <c r="D31" s="153" t="s">
        <v>80</v>
      </c>
      <c r="E31" s="153" t="s">
        <v>81</v>
      </c>
      <c r="F31" s="142"/>
      <c r="G31" s="142"/>
      <c r="H31" s="542">
        <v>2.9159999999999999</v>
      </c>
      <c r="I31" s="142"/>
      <c r="J31" s="142"/>
      <c r="K31" s="154">
        <v>-1.2</v>
      </c>
      <c r="L31" s="142"/>
      <c r="M31" s="142"/>
      <c r="N31" s="154">
        <v>1.825</v>
      </c>
      <c r="O31" s="142"/>
      <c r="P31" s="142"/>
      <c r="Q31" s="154">
        <v>6.4960000000000004</v>
      </c>
      <c r="R31" s="142"/>
      <c r="S31" s="142"/>
      <c r="T31" s="154">
        <v>6.5720000000000001</v>
      </c>
      <c r="U31" s="67"/>
      <c r="V31" s="67"/>
    </row>
    <row r="32" spans="1:22" ht="13">
      <c r="A32" s="23" t="s">
        <v>550</v>
      </c>
      <c r="B32" s="13" t="s">
        <v>551</v>
      </c>
      <c r="C32" s="13"/>
      <c r="D32" s="153" t="s">
        <v>80</v>
      </c>
      <c r="E32" s="153" t="s">
        <v>81</v>
      </c>
      <c r="F32" s="142"/>
      <c r="G32" s="142"/>
      <c r="H32" s="542">
        <v>-1.504</v>
      </c>
      <c r="I32" s="142"/>
      <c r="J32" s="142"/>
      <c r="K32" s="154">
        <v>-4.5289999999999999</v>
      </c>
      <c r="L32" s="142"/>
      <c r="M32" s="142"/>
      <c r="N32" s="154">
        <v>-1.345</v>
      </c>
      <c r="O32" s="142"/>
      <c r="P32" s="142"/>
      <c r="Q32" s="154">
        <v>-2.387</v>
      </c>
      <c r="R32" s="142"/>
      <c r="S32" s="142"/>
      <c r="T32" s="154">
        <v>-5.0890000000000004</v>
      </c>
      <c r="U32" s="67"/>
      <c r="V32" s="67"/>
    </row>
    <row r="33" spans="1:20" ht="13">
      <c r="A33" s="23" t="s">
        <v>552</v>
      </c>
      <c r="B33" s="13" t="s">
        <v>545</v>
      </c>
      <c r="C33" s="13"/>
      <c r="D33" s="153" t="s">
        <v>80</v>
      </c>
      <c r="E33" s="153" t="s">
        <v>81</v>
      </c>
      <c r="F33" s="142"/>
      <c r="G33" s="142"/>
      <c r="H33" s="542">
        <v>0.496</v>
      </c>
      <c r="I33" s="142"/>
      <c r="J33" s="142"/>
      <c r="K33" s="154">
        <v>6.8780000000000001</v>
      </c>
      <c r="L33" s="142"/>
      <c r="M33" s="142"/>
      <c r="N33" s="154">
        <v>7.2770000000000001</v>
      </c>
      <c r="O33" s="142"/>
      <c r="P33" s="142"/>
      <c r="Q33" s="154">
        <v>-1.6060000000000001</v>
      </c>
      <c r="R33" s="142"/>
      <c r="S33" s="142"/>
      <c r="T33" s="154">
        <v>14.096</v>
      </c>
    </row>
    <row r="34" spans="1:20">
      <c r="A34" s="23" t="s">
        <v>553</v>
      </c>
      <c r="B34" s="13" t="s">
        <v>554</v>
      </c>
      <c r="C34" s="13"/>
      <c r="D34" s="153" t="s">
        <v>80</v>
      </c>
      <c r="E34" s="153" t="s">
        <v>100</v>
      </c>
      <c r="F34" s="17">
        <f t="shared" ref="F34:T34" si="9">SUM(F31:F33)</f>
        <v>0</v>
      </c>
      <c r="G34" s="17">
        <f t="shared" si="9"/>
        <v>0</v>
      </c>
      <c r="H34" s="17">
        <f t="shared" si="9"/>
        <v>1.9079999999999999</v>
      </c>
      <c r="I34" s="17">
        <f t="shared" si="9"/>
        <v>0</v>
      </c>
      <c r="J34" s="17">
        <f t="shared" si="9"/>
        <v>0</v>
      </c>
      <c r="K34" s="17">
        <f t="shared" si="9"/>
        <v>1.149</v>
      </c>
      <c r="L34" s="17">
        <f t="shared" si="9"/>
        <v>0</v>
      </c>
      <c r="M34" s="17">
        <f t="shared" si="9"/>
        <v>0</v>
      </c>
      <c r="N34" s="17">
        <f t="shared" si="9"/>
        <v>7.7569999999999997</v>
      </c>
      <c r="O34" s="17">
        <f t="shared" si="9"/>
        <v>0</v>
      </c>
      <c r="P34" s="17">
        <f t="shared" si="9"/>
        <v>0</v>
      </c>
      <c r="Q34" s="17">
        <f t="shared" si="9"/>
        <v>2.5030000000000001</v>
      </c>
      <c r="R34" s="17">
        <f t="shared" si="9"/>
        <v>0</v>
      </c>
      <c r="S34" s="17">
        <f t="shared" si="9"/>
        <v>0</v>
      </c>
      <c r="T34" s="17">
        <f t="shared" si="9"/>
        <v>15.579000000000001</v>
      </c>
    </row>
    <row r="35" spans="1:20">
      <c r="A35" s="66"/>
      <c r="B35" s="67"/>
      <c r="C35" s="67"/>
      <c r="D35" s="67"/>
      <c r="E35" s="67"/>
      <c r="F35" s="67"/>
      <c r="G35" s="67"/>
      <c r="H35" s="67"/>
      <c r="I35" s="67"/>
      <c r="J35" s="67"/>
      <c r="K35" s="170"/>
      <c r="L35" s="67"/>
      <c r="M35" s="67"/>
      <c r="N35" s="170"/>
      <c r="O35" s="67"/>
      <c r="P35" s="67"/>
      <c r="Q35" s="170"/>
      <c r="R35" s="67"/>
      <c r="S35" s="67"/>
      <c r="T35" s="170"/>
    </row>
    <row r="36" spans="1:20" ht="13">
      <c r="A36" s="195"/>
      <c r="B36" s="150" t="s">
        <v>555</v>
      </c>
      <c r="C36" s="169"/>
      <c r="D36" s="169"/>
      <c r="E36" s="169"/>
      <c r="F36"/>
      <c r="G36"/>
      <c r="H36"/>
      <c r="I36" s="67"/>
      <c r="J36" s="67"/>
      <c r="K36" s="67"/>
      <c r="L36" s="67"/>
      <c r="M36" s="67"/>
      <c r="N36" s="67"/>
      <c r="O36" s="67"/>
      <c r="P36" s="67"/>
      <c r="Q36" s="170"/>
      <c r="R36" s="67"/>
      <c r="S36" s="67"/>
      <c r="T36" s="67"/>
    </row>
    <row r="37" spans="1:20">
      <c r="A37" s="23" t="s">
        <v>556</v>
      </c>
      <c r="B37" s="13" t="s">
        <v>557</v>
      </c>
      <c r="C37" s="13"/>
      <c r="D37" s="153" t="s">
        <v>80</v>
      </c>
      <c r="E37" s="153" t="s">
        <v>81</v>
      </c>
      <c r="F37" s="142"/>
      <c r="G37" s="142"/>
      <c r="H37" s="154">
        <v>5.2919999999999998</v>
      </c>
      <c r="I37" s="142"/>
      <c r="J37" s="142"/>
      <c r="K37" s="154">
        <v>5.6219999999999999</v>
      </c>
      <c r="L37" s="142"/>
      <c r="M37" s="142"/>
      <c r="N37" s="154">
        <v>5.3259999999999996</v>
      </c>
      <c r="O37" s="142"/>
      <c r="P37" s="142"/>
      <c r="Q37" s="154">
        <v>0.58899999999999997</v>
      </c>
      <c r="R37" s="142"/>
      <c r="S37" s="142"/>
      <c r="T37" s="154">
        <v>-0.80500000000000005</v>
      </c>
    </row>
    <row r="38" spans="1:20">
      <c r="A38" s="23" t="s">
        <v>558</v>
      </c>
      <c r="B38" s="13" t="s">
        <v>559</v>
      </c>
      <c r="C38" s="13"/>
      <c r="D38" s="153" t="s">
        <v>80</v>
      </c>
      <c r="E38" s="153" t="s">
        <v>81</v>
      </c>
      <c r="F38" s="142"/>
      <c r="G38" s="142"/>
      <c r="H38" s="154">
        <f>SUM(F38:G38)</f>
        <v>0</v>
      </c>
      <c r="I38" s="142"/>
      <c r="J38" s="142"/>
      <c r="K38" s="154">
        <f>SUM(I38:J38)</f>
        <v>0</v>
      </c>
      <c r="L38" s="142"/>
      <c r="M38" s="142"/>
      <c r="N38" s="154">
        <v>9.1199999999999992</v>
      </c>
      <c r="O38" s="142"/>
      <c r="P38" s="142"/>
      <c r="Q38" s="154">
        <f>SUM(O38:P38)</f>
        <v>0</v>
      </c>
      <c r="R38" s="142"/>
      <c r="S38" s="142"/>
      <c r="T38" s="154">
        <v>-0.1</v>
      </c>
    </row>
    <row r="41" spans="1:20">
      <c r="A41" s="66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170"/>
    </row>
  </sheetData>
  <mergeCells count="5">
    <mergeCell ref="F5:H5"/>
    <mergeCell ref="I5:K5"/>
    <mergeCell ref="L5:N5"/>
    <mergeCell ref="O5:Q5"/>
    <mergeCell ref="R5:S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5" orientation="landscape" r:id="rId1"/>
  <headerFooter alignWithMargins="0">
    <oddFooter>&amp;RRegulatory Accounts - M tables 2010-11 v1.2&amp;L&amp;1#&amp;"Arial"&amp;11&amp;K000000SW Internal Commercial</oddFooter>
  </headerFooter>
  <ignoredErrors>
    <ignoredError sqref="A9:A22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73E8A027AD84478D085E8578848EF7" ma:contentTypeVersion="14" ma:contentTypeDescription="Create a new document." ma:contentTypeScope="" ma:versionID="25e9caa9dd781df2b038d9f7cc6199c9">
  <xsd:schema xmlns:xsd="http://www.w3.org/2001/XMLSchema" xmlns:xs="http://www.w3.org/2001/XMLSchema" xmlns:p="http://schemas.microsoft.com/office/2006/metadata/properties" xmlns:ns1="http://schemas.microsoft.com/sharepoint/v3" xmlns:ns2="717ab7f6-fd44-4bc6-8ec0-b60b0dae7a6c" xmlns:ns3="dfc5cf3b-63a0-41eb-9e2d-d2b6491b4379" targetNamespace="http://schemas.microsoft.com/office/2006/metadata/properties" ma:root="true" ma:fieldsID="8735146386a089ce3c5c1d9c2ff0b9c0" ns1:_="" ns2:_="" ns3:_="">
    <xsd:import namespace="http://schemas.microsoft.com/sharepoint/v3"/>
    <xsd:import namespace="717ab7f6-fd44-4bc6-8ec0-b60b0dae7a6c"/>
    <xsd:import namespace="dfc5cf3b-63a0-41eb-9e2d-d2b6491b4379"/>
    <xsd:element name="properties">
      <xsd:complexType>
        <xsd:sequence>
          <xsd:element name="documentManagement">
            <xsd:complexType>
              <xsd:all>
                <xsd:element ref="ns2:cf592852341843f8bdfae7ca25eef972" minOccurs="0"/>
                <xsd:element ref="ns3:TaxCatchAll" minOccurs="0"/>
                <xsd:element ref="ns3:bfc079fce85f491ab29dd2fc5176ac66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ab7f6-fd44-4bc6-8ec0-b60b0dae7a6c" elementFormDefault="qualified">
    <xsd:import namespace="http://schemas.microsoft.com/office/2006/documentManagement/types"/>
    <xsd:import namespace="http://schemas.microsoft.com/office/infopath/2007/PartnerControls"/>
    <xsd:element name="cf592852341843f8bdfae7ca25eef972" ma:index="9" nillable="true" ma:taxonomy="true" ma:internalName="cf592852341843f8bdfae7ca25eef972" ma:taxonomyFieldName="Data_x0020_Area" ma:displayName="Data Area" ma:indexed="true" ma:default="" ma:fieldId="{cf592852-3418-43f8-bdfa-e7ca25eef972}" ma:sspId="f924a736-b285-4c68-8cdb-5ccf3ff341b6" ma:termSetId="7a5625a2-4e1a-4ba2-934b-4b033497e6b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5cf3b-63a0-41eb-9e2d-d2b6491b437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611ec8d2-c813-4531-b966-1319a11e9c0f}" ma:internalName="TaxCatchAll" ma:showField="CatchAllData" ma:web="dfc5cf3b-63a0-41eb-9e2d-d2b6491b43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fc079fce85f491ab29dd2fc5176ac66" ma:index="12" nillable="true" ma:taxonomy="true" ma:internalName="bfc079fce85f491ab29dd2fc5176ac66" ma:taxonomyFieldName="Financial_x0020_Year" ma:displayName="Financial Year" ma:indexed="true" ma:default="" ma:fieldId="{bfc079fc-e85f-491a-b29d-d2fc5176ac66}" ma:sspId="f924a736-b285-4c68-8cdb-5ccf3ff341b6" ma:termSetId="e3db7dc0-d157-4e6b-95e0-f2d210bd78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fc5cf3b-63a0-41eb-9e2d-d2b6491b4379">
      <UserInfo>
        <DisplayName>Matt Rousseau</DisplayName>
        <AccountId>14307</AccountId>
        <AccountType/>
      </UserInfo>
      <UserInfo>
        <DisplayName>Chris Evans</DisplayName>
        <AccountId>506</AccountId>
        <AccountType/>
      </UserInfo>
    </SharedWithUsers>
    <_ip_UnifiedCompliancePolicyUIAction xmlns="http://schemas.microsoft.com/sharepoint/v3" xsi:nil="true"/>
    <TaxCatchAll xmlns="dfc5cf3b-63a0-41eb-9e2d-d2b6491b4379">
      <Value>107</Value>
      <Value>60</Value>
    </TaxCatchAll>
    <cf592852341843f8bdfae7ca25eef972 xmlns="717ab7f6-fd44-4bc6-8ec0-b60b0dae7a6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Development</TermName>
          <TermId xmlns="http://schemas.microsoft.com/office/infopath/2007/PartnerControls">4af07ceb-6b62-4e7a-b160-fc03d460cacb</TermId>
        </TermInfo>
      </Terms>
    </cf592852341843f8bdfae7ca25eef972>
    <_ip_UnifiedCompliancePolicyProperties xmlns="http://schemas.microsoft.com/sharepoint/v3" xsi:nil="true"/>
    <bfc079fce85f491ab29dd2fc5176ac66 xmlns="dfc5cf3b-63a0-41eb-9e2d-d2b6491b4379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2015-2016</TermName>
          <TermId xmlns="http://schemas.microsoft.com/office/infopath/2007/PartnerControls">525cdd41-e84f-4413-a647-9665e6791833</TermId>
        </TermInfo>
      </Terms>
    </bfc079fce85f491ab29dd2fc5176ac66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5A03FCB-8DD1-4D2F-9267-2A9935FC0D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7ab7f6-fd44-4bc6-8ec0-b60b0dae7a6c"/>
    <ds:schemaRef ds:uri="dfc5cf3b-63a0-41eb-9e2d-d2b6491b43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766786-4C96-4681-9EA0-3D38742C45D3}">
  <ds:schemaRefs>
    <ds:schemaRef ds:uri="http://schemas.microsoft.com/office/2006/metadata/properties"/>
    <ds:schemaRef ds:uri="http://schemas.microsoft.com/office/infopath/2007/PartnerControls"/>
    <ds:schemaRef ds:uri="dfc5cf3b-63a0-41eb-9e2d-d2b6491b4379"/>
    <ds:schemaRef ds:uri="http://schemas.microsoft.com/sharepoint/v3"/>
    <ds:schemaRef ds:uri="717ab7f6-fd44-4bc6-8ec0-b60b0dae7a6c"/>
  </ds:schemaRefs>
</ds:datastoreItem>
</file>

<file path=customXml/itemProps3.xml><?xml version="1.0" encoding="utf-8"?>
<ds:datastoreItem xmlns:ds="http://schemas.openxmlformats.org/officeDocument/2006/customXml" ds:itemID="{3C0AFA16-3566-4592-B3D1-DB5E0313E1F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9439EED-36F3-4F8F-94B8-83065E79832D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003C99FB-AA01-41A9-907E-216553DDCF0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24</vt:i4>
      </vt:variant>
    </vt:vector>
  </HeadingPairs>
  <TitlesOfParts>
    <vt:vector size="43" baseType="lpstr">
      <vt:lpstr>summary</vt:lpstr>
      <vt:lpstr>M1</vt:lpstr>
      <vt:lpstr>M2</vt:lpstr>
      <vt:lpstr>M3</vt:lpstr>
      <vt:lpstr>M4</vt:lpstr>
      <vt:lpstr>M5</vt:lpstr>
      <vt:lpstr>M6</vt:lpstr>
      <vt:lpstr>M6-R</vt:lpstr>
      <vt:lpstr>M7</vt:lpstr>
      <vt:lpstr>M11</vt:lpstr>
      <vt:lpstr>M18 W</vt:lpstr>
      <vt:lpstr>M18 WW</vt:lpstr>
      <vt:lpstr>M21</vt:lpstr>
      <vt:lpstr>M22</vt:lpstr>
      <vt:lpstr>M27a</vt:lpstr>
      <vt:lpstr>M28a</vt:lpstr>
      <vt:lpstr>M30</vt:lpstr>
      <vt:lpstr>M31</vt:lpstr>
      <vt:lpstr>report year index</vt:lpstr>
      <vt:lpstr>'M11'!Print_Area</vt:lpstr>
      <vt:lpstr>'M2'!Print_Area</vt:lpstr>
      <vt:lpstr>'M21'!Print_Area</vt:lpstr>
      <vt:lpstr>'M22'!Print_Area</vt:lpstr>
      <vt:lpstr>M27a!Print_Area</vt:lpstr>
      <vt:lpstr>M28a!Print_Area</vt:lpstr>
      <vt:lpstr>'M3'!Print_Area</vt:lpstr>
      <vt:lpstr>'M30'!Print_Area</vt:lpstr>
      <vt:lpstr>'M31'!Print_Area</vt:lpstr>
      <vt:lpstr>'M4'!Print_Area</vt:lpstr>
      <vt:lpstr>'M5'!Print_Area</vt:lpstr>
      <vt:lpstr>'M7'!Print_Area</vt:lpstr>
      <vt:lpstr>summary!Print_Area</vt:lpstr>
      <vt:lpstr>reportminus1</vt:lpstr>
      <vt:lpstr>reportminus2</vt:lpstr>
      <vt:lpstr>reportminus3</vt:lpstr>
      <vt:lpstr>reportminus4</vt:lpstr>
      <vt:lpstr>reportminus5</vt:lpstr>
      <vt:lpstr>reportplus1</vt:lpstr>
      <vt:lpstr>reportplus2</vt:lpstr>
      <vt:lpstr>reportplus3</vt:lpstr>
      <vt:lpstr>reportplus4</vt:lpstr>
      <vt:lpstr>reportplus5</vt:lpstr>
      <vt:lpstr>reportyear</vt:lpstr>
    </vt:vector>
  </TitlesOfParts>
  <Manager/>
  <Company>wics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crt</dc:creator>
  <cp:keywords/>
  <dc:description/>
  <cp:lastModifiedBy>Kirsty McLean</cp:lastModifiedBy>
  <cp:revision/>
  <dcterms:created xsi:type="dcterms:W3CDTF">2007-01-22T11:24:15Z</dcterms:created>
  <dcterms:modified xsi:type="dcterms:W3CDTF">2021-11-10T22:14:22Z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 Area">
    <vt:lpwstr>60;#Development|4af07ceb-6b62-4e7a-b160-fc03d460cacb</vt:lpwstr>
  </property>
  <property fmtid="{D5CDD505-2E9C-101B-9397-08002B2CF9AE}" pid="3" name="Financial Year">
    <vt:lpwstr>107;#2015-2016|525cdd41-e84f-4413-a647-9665e6791833</vt:lpwstr>
  </property>
  <property fmtid="{D5CDD505-2E9C-101B-9397-08002B2CF9AE}" pid="4" name="ContentTypeId">
    <vt:lpwstr>0x0101000673E8A027AD84478D085E8578848EF7</vt:lpwstr>
  </property>
  <property fmtid="{D5CDD505-2E9C-101B-9397-08002B2CF9AE}" pid="5" name="AuthorIds_UIVersion_1024">
    <vt:lpwstr>248</vt:lpwstr>
  </property>
  <property fmtid="{D5CDD505-2E9C-101B-9397-08002B2CF9AE}" pid="6" name="AuthorIds_UIVersion_4608">
    <vt:lpwstr>248</vt:lpwstr>
  </property>
  <property fmtid="{D5CDD505-2E9C-101B-9397-08002B2CF9AE}" pid="7" name="AuthorIds_UIVersion_5632">
    <vt:lpwstr>283</vt:lpwstr>
  </property>
  <property fmtid="{D5CDD505-2E9C-101B-9397-08002B2CF9AE}" pid="8" name="AuthorIds_UIVersion_6656">
    <vt:lpwstr>283</vt:lpwstr>
  </property>
  <property fmtid="{D5CDD505-2E9C-101B-9397-08002B2CF9AE}" pid="9" name="AuthorIds_UIVersion_7168">
    <vt:lpwstr>283</vt:lpwstr>
  </property>
  <property fmtid="{D5CDD505-2E9C-101B-9397-08002B2CF9AE}" pid="10" name="AuthorIds_UIVersion_1536">
    <vt:lpwstr>283</vt:lpwstr>
  </property>
  <property fmtid="{D5CDD505-2E9C-101B-9397-08002B2CF9AE}" pid="11" name="AuthorIds_UIVersion_2560">
    <vt:lpwstr>283</vt:lpwstr>
  </property>
  <property fmtid="{D5CDD505-2E9C-101B-9397-08002B2CF9AE}" pid="12" name="SV_QUERY_LIST_4F35BF76-6C0D-4D9B-82B2-816C12CF3733">
    <vt:lpwstr>empty_477D106A-C0D6-4607-AEBD-E2C9D60EA279</vt:lpwstr>
  </property>
  <property fmtid="{D5CDD505-2E9C-101B-9397-08002B2CF9AE}" pid="13" name="SV_HIDDEN_GRID_QUERY_LIST_4F35BF76-6C0D-4D9B-82B2-816C12CF3733">
    <vt:lpwstr>empty_477D106A-C0D6-4607-AEBD-E2C9D60EA279</vt:lpwstr>
  </property>
  <property fmtid="{D5CDD505-2E9C-101B-9397-08002B2CF9AE}" pid="14" name="MSIP_Label_da2a8f13-00dc-4af0-a9f3-6ee954b2604b_Enabled">
    <vt:lpwstr>True</vt:lpwstr>
  </property>
  <property fmtid="{D5CDD505-2E9C-101B-9397-08002B2CF9AE}" pid="15" name="MSIP_Label_da2a8f13-00dc-4af0-a9f3-6ee954b2604b_SiteId">
    <vt:lpwstr>f90bd2e7-b5c0-4b25-9e27-226ff8b6c17b</vt:lpwstr>
  </property>
  <property fmtid="{D5CDD505-2E9C-101B-9397-08002B2CF9AE}" pid="16" name="MSIP_Label_da2a8f13-00dc-4af0-a9f3-6ee954b2604b_Owner">
    <vt:lpwstr>sw-srv-sharegateBUL1@SWAD.NET</vt:lpwstr>
  </property>
  <property fmtid="{D5CDD505-2E9C-101B-9397-08002B2CF9AE}" pid="17" name="MSIP_Label_da2a8f13-00dc-4af0-a9f3-6ee954b2604b_SetDate">
    <vt:lpwstr>2020-03-04T15:54:27.7730161Z</vt:lpwstr>
  </property>
  <property fmtid="{D5CDD505-2E9C-101B-9397-08002B2CF9AE}" pid="18" name="MSIP_Label_da2a8f13-00dc-4af0-a9f3-6ee954b2604b_Name">
    <vt:lpwstr>SW Internal</vt:lpwstr>
  </property>
  <property fmtid="{D5CDD505-2E9C-101B-9397-08002B2CF9AE}" pid="19" name="MSIP_Label_da2a8f13-00dc-4af0-a9f3-6ee954b2604b_Application">
    <vt:lpwstr>Microsoft Azure Information Protection</vt:lpwstr>
  </property>
  <property fmtid="{D5CDD505-2E9C-101B-9397-08002B2CF9AE}" pid="20" name="MSIP_Label_da2a8f13-00dc-4af0-a9f3-6ee954b2604b_ActionId">
    <vt:lpwstr>c71e03f6-3fc0-45c6-8a2f-57121717fc31</vt:lpwstr>
  </property>
  <property fmtid="{D5CDD505-2E9C-101B-9397-08002B2CF9AE}" pid="21" name="MSIP_Label_da2a8f13-00dc-4af0-a9f3-6ee954b2604b_Extended_MSFT_Method">
    <vt:lpwstr>Automatic</vt:lpwstr>
  </property>
  <property fmtid="{D5CDD505-2E9C-101B-9397-08002B2CF9AE}" pid="22" name="MSIP_Label_058726ee-aa22-4015-a145-38c9c7d44652_Enabled">
    <vt:lpwstr>True</vt:lpwstr>
  </property>
  <property fmtid="{D5CDD505-2E9C-101B-9397-08002B2CF9AE}" pid="23" name="MSIP_Label_058726ee-aa22-4015-a145-38c9c7d44652_SiteId">
    <vt:lpwstr>f90bd2e7-b5c0-4b25-9e27-226ff8b6c17b</vt:lpwstr>
  </property>
  <property fmtid="{D5CDD505-2E9C-101B-9397-08002B2CF9AE}" pid="24" name="MSIP_Label_058726ee-aa22-4015-a145-38c9c7d44652_SetDate">
    <vt:lpwstr>2020-03-04T15:54:27.7730161Z</vt:lpwstr>
  </property>
  <property fmtid="{D5CDD505-2E9C-101B-9397-08002B2CF9AE}" pid="25" name="MSIP_Label_058726ee-aa22-4015-a145-38c9c7d44652_Name">
    <vt:lpwstr>COMMERCIAL</vt:lpwstr>
  </property>
  <property fmtid="{D5CDD505-2E9C-101B-9397-08002B2CF9AE}" pid="26" name="MSIP_Label_058726ee-aa22-4015-a145-38c9c7d44652_ActionId">
    <vt:lpwstr>c71e03f6-3fc0-45c6-8a2f-57121717fc31</vt:lpwstr>
  </property>
  <property fmtid="{D5CDD505-2E9C-101B-9397-08002B2CF9AE}" pid="27" name="MSIP_Label_058726ee-aa22-4015-a145-38c9c7d44652_Extended_MSFT_Method">
    <vt:lpwstr>Automatic</vt:lpwstr>
  </property>
  <property fmtid="{D5CDD505-2E9C-101B-9397-08002B2CF9AE}" pid="28" name="Sensitivity">
    <vt:lpwstr>SW Internal COMMERCIAL</vt:lpwstr>
  </property>
</Properties>
</file>