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vid.galloway\Desktop\"/>
    </mc:Choice>
  </mc:AlternateContent>
  <xr:revisionPtr revIDLastSave="0" documentId="8_{47B7CD3D-5EB5-4725-8721-812572C59B54}" xr6:coauthVersionLast="45" xr6:coauthVersionMax="45" xr10:uidLastSave="{00000000-0000-0000-0000-000000000000}"/>
  <bookViews>
    <workbookView xWindow="1860" yWindow="1860" windowWidth="28800" windowHeight="15460" xr2:uid="{A09ED65D-A314-4CA0-A72D-1003DBE1EFDA}"/>
  </bookViews>
  <sheets>
    <sheet name="Instructions" sheetId="72" r:id="rId1"/>
    <sheet name="Control Sheet" sheetId="8" r:id="rId2"/>
    <sheet name="Model" sheetId="1" r:id="rId3"/>
    <sheet name="Supplementary inputs" sheetId="2" r:id="rId4"/>
    <sheet name="Reported actuals" sheetId="36" state="hidden" r:id="rId5"/>
    <sheet name="Model log" sheetId="35" r:id="rId6"/>
    <sheet name="RiskSerializationData" sheetId="5" state="hidden" r:id="rId7"/>
  </sheets>
  <externalReferences>
    <externalReference r:id="rId8"/>
    <externalReference r:id="rId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1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vgInvSR21">'[1]Control Sheet'!$J$6</definedName>
    <definedName name="BillsRange">OFFSET(#REF!,COUNTA(#REF!)-#REF!,0,#REF!)</definedName>
    <definedName name="capex">'Control Sheet'!$F$29</definedName>
    <definedName name="Company1AssetPerf">OFFSET(#REF!,COUNTA(#REF!)-#REF!,0,#REF!)</definedName>
    <definedName name="Company1Bills">OFFSET(#REF!,COUNTA(#REF!)-#REF!,0,#REF!)</definedName>
    <definedName name="Company1denominators">OFFSET(#REF!,COUNTA(#REF!)-#REF!,0,#REF!)</definedName>
    <definedName name="Company1Financials">OFFSET(#REF!,COUNTA(#REF!)-#REF!,0,#REF!)</definedName>
    <definedName name="Company1Growth">OFFSET(#REF!,COUNTA(#REF!)-#REF!,0,#REF!)</definedName>
    <definedName name="Company1MaintenanceAct">OFFSET(#REF!,COUNTA(#REF!)-#REF!,0,#REF!)</definedName>
    <definedName name="Company1MaintenanceExp">OFFSET(#REF!,COUNTA(#REF!)-#REF!,0,#REF!)</definedName>
    <definedName name="Company1OPEX">OFFSET(#REF!,COUNTA(#REF!)-#REF!,0,#REF!)</definedName>
    <definedName name="Company2AssetPerf">OFFSET(#REF!,COUNTA(#REF!)-#REF!,0,#REF!)</definedName>
    <definedName name="Company2Bills">OFFSET(#REF!,COUNTA(#REF!)-#REF!,0,#REF!)</definedName>
    <definedName name="Company2denominators">OFFSET(#REF!,COUNTA(#REF!)-#REF!,0,#REF!)</definedName>
    <definedName name="Company2Financials">OFFSET(#REF!,COUNTA(#REF!)-#REF!,0,#REF!)</definedName>
    <definedName name="Company2Growth">OFFSET(#REF!,COUNTA(#REF!)-#REF!,0,#REF!)</definedName>
    <definedName name="Company2MaintenanceAct">OFFSET(#REF!,COUNTA(#REF!)-#REF!,0,#REF!)</definedName>
    <definedName name="Company2MaintenanceExp">OFFSET(#REF!,COUNTA(#REF!)-#REF!,0,#REF!)</definedName>
    <definedName name="Company2OPEX">OFFSET(#REF!,COUNTA(#REF!)-#REF!,0,#REF!)</definedName>
    <definedName name="Company3Bills">OFFSET(#REF!,COUNTA(#REF!)-#REF!,0,#REF!)</definedName>
    <definedName name="Company4Bills">OFFSET(#REF!,COUNTA(#REF!)-#REF!,0,#REF!)</definedName>
    <definedName name="CompanyNamesBills">OFFSET(#REF!,COUNTA(#REF!)-#REF!,0,#REF!)</definedName>
    <definedName name="CompanyNamesDenominators">OFFSET(#REF!,COUNTA(#REF!)-#REF!,0,#REF!)</definedName>
    <definedName name="CompanyNamesFinancial">OFFSET(#REF!,COUNTA(#REF!)-#REF!,0,#REF!)</definedName>
    <definedName name="CompanyNamesMaintenanceExp">OFFSET(#REF!,COUNTA(#REF!)-#REF!,0,#REF!)</definedName>
    <definedName name="CompanyNamesOpex">OFFSET(#REF!,COUNTA(#REF!)-#REF!,0,#REF!)</definedName>
    <definedName name="DenominatorsRange">OFFSET(#REF!,COUNTA(#REF!)-#REF!,0,#REF!)</definedName>
    <definedName name="dsg" hidden="1">"$F$31"</definedName>
    <definedName name="dsga" hidden="1">1000</definedName>
    <definedName name="FinancialCompanyRange">OFFSET(#REF!,COUNTA(#REF!)-#REF!,0,#REF!)</definedName>
    <definedName name="MaintenanceExpRange">OFFSET(#REF!,COUNTA(#REF!)-#REF!,0,#REF!)</definedName>
    <definedName name="OpexRange">OFFSET(#REF!,COUNTA(#REF!)-#REF!,0,#REF!)</definedName>
    <definedName name="Pal_Workbook_GUID" hidden="1">"JUZ3UXLZ1LY5MAXPH1MWLB8W"</definedName>
    <definedName name="price">'Control Sheet'!$F$24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"$I$22"</definedName>
    <definedName name="RiskSelectedNameCell1" hidden="1">"$C$22"</definedName>
    <definedName name="RiskSelectedNameCell2" hidden="1">"$I$3"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g" hidden="1">"$J$31"</definedName>
    <definedName name="sgag">'[2]Control Sheet'!$J$4</definedName>
    <definedName name="transition_price">'[1]Control Sheet'!$J$3</definedName>
    <definedName name="Year_AssetPerf">OFFSET(#REF!,COUNTA(#REF!)-#REF!,0,#REF!)</definedName>
    <definedName name="Year_Bills">OFFSET(#REF!,COUNTA(#REF!)-#REF!,0,#REF!)</definedName>
    <definedName name="Year_denominators">OFFSET(#REF!,COUNTA(#REF!)-#REF!,0,#REF!)</definedName>
    <definedName name="Year_Financials">OFFSET(#REF!,COUNTA(#REF!)-#REF!,0,#REF!)</definedName>
    <definedName name="Year_Growth">OFFSET(#REF!,COUNTA(#REF!)-#REF!,0,#REF!)</definedName>
    <definedName name="Year_MaintenanceAct">OFFSET(#REF!,COUNTA(#REF!)-#REF!,0,#REF!)</definedName>
    <definedName name="Year_MaintenanceExp">OFFSET(#REF!,COUNTA(#REF!)-#REF!,0,#REF!)</definedName>
    <definedName name="Year_OPEX">OFFSET(#REF!,COUNTA(#REF!)-#REF!,0,#REF!)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1" l="1"/>
  <c r="H22" i="1"/>
  <c r="I22" i="1"/>
  <c r="J22" i="1"/>
  <c r="K22" i="1"/>
  <c r="L22" i="1"/>
  <c r="M22" i="1" s="1"/>
  <c r="F26" i="1"/>
  <c r="M26" i="1" s="1"/>
  <c r="L20" i="1" l="1"/>
  <c r="G97" i="1"/>
  <c r="F33" i="1" l="1"/>
  <c r="H19" i="1" l="1"/>
  <c r="I19" i="1"/>
  <c r="J19" i="1"/>
  <c r="K19" i="1"/>
  <c r="L19" i="1"/>
  <c r="F31" i="1"/>
  <c r="F83" i="1" s="1"/>
  <c r="F74" i="1"/>
  <c r="G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M19" i="1"/>
  <c r="G20" i="1"/>
  <c r="F72" i="1" l="1"/>
  <c r="F94" i="1" l="1"/>
  <c r="F48" i="1"/>
  <c r="H29" i="1" l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G29" i="1"/>
  <c r="K23" i="36"/>
  <c r="L23" i="36" s="1"/>
  <c r="F122" i="1" l="1"/>
  <c r="F84" i="1"/>
  <c r="F27" i="1"/>
  <c r="G23" i="1"/>
  <c r="G24" i="1" s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Y24" i="1" s="1"/>
  <c r="Z23" i="1"/>
  <c r="AA23" i="1"/>
  <c r="AB23" i="1"/>
  <c r="AC23" i="1"/>
  <c r="AD23" i="1"/>
  <c r="S22" i="1"/>
  <c r="S53" i="1" s="1"/>
  <c r="S99" i="1" s="1"/>
  <c r="S127" i="1" s="1"/>
  <c r="T22" i="1"/>
  <c r="T53" i="1" s="1"/>
  <c r="T99" i="1" s="1"/>
  <c r="T127" i="1" s="1"/>
  <c r="U22" i="1"/>
  <c r="U53" i="1" s="1"/>
  <c r="U99" i="1" s="1"/>
  <c r="U127" i="1" s="1"/>
  <c r="V22" i="1"/>
  <c r="V53" i="1" s="1"/>
  <c r="V99" i="1" s="1"/>
  <c r="V127" i="1" s="1"/>
  <c r="W22" i="1"/>
  <c r="W53" i="1" s="1"/>
  <c r="W99" i="1" s="1"/>
  <c r="W127" i="1" s="1"/>
  <c r="X22" i="1"/>
  <c r="X53" i="1" s="1"/>
  <c r="X99" i="1" s="1"/>
  <c r="X127" i="1" s="1"/>
  <c r="Y22" i="1"/>
  <c r="Y53" i="1" s="1"/>
  <c r="Y99" i="1" s="1"/>
  <c r="Y127" i="1" s="1"/>
  <c r="Z22" i="1"/>
  <c r="Z53" i="1" s="1"/>
  <c r="Z99" i="1" s="1"/>
  <c r="Z127" i="1" s="1"/>
  <c r="AA22" i="1"/>
  <c r="AA53" i="1" s="1"/>
  <c r="AA99" i="1" s="1"/>
  <c r="AA127" i="1" s="1"/>
  <c r="AB22" i="1"/>
  <c r="AB53" i="1" s="1"/>
  <c r="AB99" i="1" s="1"/>
  <c r="AB127" i="1" s="1"/>
  <c r="AC22" i="1"/>
  <c r="AC53" i="1" s="1"/>
  <c r="AC99" i="1" s="1"/>
  <c r="AC127" i="1" s="1"/>
  <c r="AD22" i="1"/>
  <c r="AD53" i="1" s="1"/>
  <c r="AD99" i="1" s="1"/>
  <c r="AD127" i="1" s="1"/>
  <c r="H20" i="1"/>
  <c r="I20" i="1"/>
  <c r="J20" i="1"/>
  <c r="K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F13" i="1"/>
  <c r="F14" i="1"/>
  <c r="F5" i="1"/>
  <c r="F6" i="1"/>
  <c r="Q9" i="8"/>
  <c r="Q10" i="8"/>
  <c r="Q11" i="8"/>
  <c r="Q13" i="8"/>
  <c r="Q14" i="8"/>
  <c r="Q15" i="8"/>
  <c r="Q16" i="8"/>
  <c r="Q17" i="8"/>
  <c r="Q18" i="8"/>
  <c r="Q3" i="8"/>
  <c r="Q4" i="8"/>
  <c r="Q5" i="8"/>
  <c r="G122" i="1"/>
  <c r="W26" i="1"/>
  <c r="I24" i="1"/>
  <c r="U24" i="1"/>
  <c r="Q24" i="1"/>
  <c r="J33" i="36"/>
  <c r="J38" i="36" s="1"/>
  <c r="G33" i="36"/>
  <c r="G35" i="36"/>
  <c r="H33" i="36"/>
  <c r="H38" i="36" s="1"/>
  <c r="I33" i="36"/>
  <c r="I38" i="36" s="1"/>
  <c r="I36" i="36"/>
  <c r="J15" i="36"/>
  <c r="K15" i="36" s="1"/>
  <c r="L15" i="36" s="1"/>
  <c r="H35" i="36"/>
  <c r="I37" i="36"/>
  <c r="G37" i="36"/>
  <c r="G38" i="36"/>
  <c r="G36" i="36"/>
  <c r="I35" i="36"/>
  <c r="C36" i="8"/>
  <c r="C37" i="8"/>
  <c r="B37" i="8"/>
  <c r="F37" i="8" s="1"/>
  <c r="B36" i="8"/>
  <c r="F36" i="8" s="1"/>
  <c r="B35" i="8"/>
  <c r="F35" i="8" s="1"/>
  <c r="E9" i="2"/>
  <c r="F9" i="2"/>
  <c r="G9" i="2"/>
  <c r="G149" i="1" s="1"/>
  <c r="AN3" i="5"/>
  <c r="F75" i="1"/>
  <c r="J22" i="36"/>
  <c r="K22" i="36" s="1"/>
  <c r="L22" i="36"/>
  <c r="M53" i="1"/>
  <c r="M99" i="1" s="1"/>
  <c r="M127" i="1" s="1"/>
  <c r="G53" i="1"/>
  <c r="G99" i="1" s="1"/>
  <c r="K53" i="1"/>
  <c r="K99" i="1" s="1"/>
  <c r="K127" i="1" s="1"/>
  <c r="L53" i="1"/>
  <c r="L99" i="1" s="1"/>
  <c r="L127" i="1" s="1"/>
  <c r="H53" i="1"/>
  <c r="H99" i="1" s="1"/>
  <c r="H127" i="1" s="1"/>
  <c r="I53" i="1"/>
  <c r="I99" i="1" s="1"/>
  <c r="I127" i="1" s="1"/>
  <c r="J53" i="1"/>
  <c r="J99" i="1" s="1"/>
  <c r="J127" i="1" s="1"/>
  <c r="F10" i="1"/>
  <c r="G45" i="1" s="1"/>
  <c r="D6" i="2"/>
  <c r="E6" i="2"/>
  <c r="F6" i="2" s="1"/>
  <c r="F21" i="2" s="1"/>
  <c r="G37" i="1"/>
  <c r="G61" i="1" s="1"/>
  <c r="G107" i="1"/>
  <c r="AD24" i="1"/>
  <c r="Z24" i="1"/>
  <c r="R24" i="1"/>
  <c r="J24" i="1"/>
  <c r="S26" i="1"/>
  <c r="Z26" i="1"/>
  <c r="N26" i="1"/>
  <c r="AB26" i="1"/>
  <c r="O26" i="1"/>
  <c r="V26" i="1"/>
  <c r="Y26" i="1"/>
  <c r="U26" i="1"/>
  <c r="X26" i="1"/>
  <c r="T26" i="1"/>
  <c r="R26" i="1"/>
  <c r="P26" i="1"/>
  <c r="H85" i="1" l="1"/>
  <c r="P85" i="1"/>
  <c r="X85" i="1"/>
  <c r="I85" i="1"/>
  <c r="Q85" i="1"/>
  <c r="Y85" i="1"/>
  <c r="T85" i="1"/>
  <c r="U85" i="1"/>
  <c r="V85" i="1"/>
  <c r="W85" i="1"/>
  <c r="J85" i="1"/>
  <c r="R85" i="1"/>
  <c r="G85" i="1"/>
  <c r="G94" i="1" s="1"/>
  <c r="K85" i="1"/>
  <c r="S85" i="1"/>
  <c r="L85" i="1"/>
  <c r="M85" i="1"/>
  <c r="N85" i="1"/>
  <c r="O85" i="1"/>
  <c r="Z85" i="1"/>
  <c r="AA85" i="1"/>
  <c r="AB85" i="1"/>
  <c r="AC85" i="1"/>
  <c r="AD85" i="1"/>
  <c r="G48" i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J37" i="36"/>
  <c r="F18" i="2" s="1"/>
  <c r="J36" i="36"/>
  <c r="J35" i="36"/>
  <c r="M35" i="36" s="1"/>
  <c r="F16" i="2" s="1"/>
  <c r="F22" i="2" s="1"/>
  <c r="H36" i="36"/>
  <c r="M36" i="36" s="1"/>
  <c r="H37" i="36"/>
  <c r="AA26" i="1"/>
  <c r="AC24" i="1"/>
  <c r="M24" i="1"/>
  <c r="P24" i="1"/>
  <c r="V24" i="1"/>
  <c r="G77" i="1"/>
  <c r="H24" i="1"/>
  <c r="W77" i="1"/>
  <c r="N24" i="1"/>
  <c r="AB24" i="1"/>
  <c r="T24" i="1"/>
  <c r="L24" i="1"/>
  <c r="X24" i="1"/>
  <c r="W24" i="1"/>
  <c r="AA24" i="1"/>
  <c r="S24" i="1"/>
  <c r="K24" i="1"/>
  <c r="H37" i="1"/>
  <c r="H107" i="1" s="1"/>
  <c r="G62" i="1"/>
  <c r="AD26" i="1"/>
  <c r="Q26" i="1"/>
  <c r="O24" i="1"/>
  <c r="AC26" i="1"/>
  <c r="Q6" i="8"/>
  <c r="H116" i="1"/>
  <c r="F9" i="1"/>
  <c r="F90" i="1" s="1"/>
  <c r="J116" i="1"/>
  <c r="N22" i="1"/>
  <c r="O22" i="1" s="1"/>
  <c r="O53" i="1" s="1"/>
  <c r="O99" i="1" s="1"/>
  <c r="O127" i="1" s="1"/>
  <c r="G116" i="1"/>
  <c r="K116" i="1"/>
  <c r="I116" i="1"/>
  <c r="H108" i="1"/>
  <c r="G108" i="1"/>
  <c r="L116" i="1"/>
  <c r="Y77" i="1"/>
  <c r="P77" i="1"/>
  <c r="M77" i="1"/>
  <c r="H9" i="2"/>
  <c r="G127" i="1"/>
  <c r="G91" i="1"/>
  <c r="V77" i="1"/>
  <c r="N77" i="1"/>
  <c r="AA77" i="1"/>
  <c r="R77" i="1"/>
  <c r="Z77" i="1"/>
  <c r="X77" i="1"/>
  <c r="AD77" i="1"/>
  <c r="AC77" i="1"/>
  <c r="S77" i="1"/>
  <c r="Q77" i="1"/>
  <c r="J77" i="1"/>
  <c r="AB77" i="1"/>
  <c r="H77" i="1"/>
  <c r="K77" i="1"/>
  <c r="T77" i="1"/>
  <c r="O77" i="1"/>
  <c r="I77" i="1"/>
  <c r="F35" i="1"/>
  <c r="G35" i="1" s="1"/>
  <c r="G135" i="1" s="1"/>
  <c r="F11" i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Q8" i="8"/>
  <c r="U77" i="1"/>
  <c r="L77" i="1"/>
  <c r="F28" i="8"/>
  <c r="H122" i="1"/>
  <c r="I122" i="1" s="1"/>
  <c r="J122" i="1" s="1"/>
  <c r="K122" i="1" s="1"/>
  <c r="L122" i="1" s="1"/>
  <c r="M122" i="1" s="1"/>
  <c r="N122" i="1" s="1"/>
  <c r="O122" i="1" s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Z122" i="1" s="1"/>
  <c r="AA122" i="1" s="1"/>
  <c r="AB122" i="1" s="1"/>
  <c r="AC122" i="1" s="1"/>
  <c r="AD122" i="1" s="1"/>
  <c r="G123" i="1"/>
  <c r="H94" i="1" l="1"/>
  <c r="I94" i="1" s="1"/>
  <c r="J94" i="1" s="1"/>
  <c r="K94" i="1" s="1"/>
  <c r="L94" i="1" s="1"/>
  <c r="M94" i="1" s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F92" i="1"/>
  <c r="G90" i="1"/>
  <c r="H61" i="1"/>
  <c r="I37" i="1"/>
  <c r="I108" i="1" s="1"/>
  <c r="H62" i="1"/>
  <c r="P22" i="1"/>
  <c r="Q22" i="1" s="1"/>
  <c r="N53" i="1"/>
  <c r="N99" i="1" s="1"/>
  <c r="N127" i="1" s="1"/>
  <c r="F44" i="1"/>
  <c r="F46" i="1" s="1"/>
  <c r="F49" i="1" s="1"/>
  <c r="G58" i="1"/>
  <c r="G131" i="1"/>
  <c r="H149" i="1"/>
  <c r="I9" i="2"/>
  <c r="F79" i="1"/>
  <c r="F81" i="1" s="1"/>
  <c r="G63" i="1"/>
  <c r="G106" i="1"/>
  <c r="G60" i="1"/>
  <c r="G104" i="1"/>
  <c r="G59" i="1"/>
  <c r="G153" i="1" s="1"/>
  <c r="H35" i="1"/>
  <c r="H109" i="1" s="1"/>
  <c r="G105" i="1"/>
  <c r="G66" i="1"/>
  <c r="G137" i="1" s="1"/>
  <c r="G51" i="1"/>
  <c r="G126" i="1" s="1"/>
  <c r="G109" i="1"/>
  <c r="F93" i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3" i="5"/>
  <c r="AG3" i="5"/>
  <c r="H123" i="1"/>
  <c r="G134" i="1"/>
  <c r="G133" i="1"/>
  <c r="G132" i="1"/>
  <c r="G130" i="1"/>
  <c r="G92" i="1" l="1"/>
  <c r="J37" i="1"/>
  <c r="K37" i="1" s="1"/>
  <c r="I61" i="1"/>
  <c r="I107" i="1"/>
  <c r="I62" i="1"/>
  <c r="J62" i="1"/>
  <c r="G44" i="1"/>
  <c r="G46" i="1" s="1"/>
  <c r="H46" i="1" s="1"/>
  <c r="I46" i="1" s="1"/>
  <c r="P53" i="1"/>
  <c r="P99" i="1" s="1"/>
  <c r="P127" i="1" s="1"/>
  <c r="Q53" i="1"/>
  <c r="Q99" i="1" s="1"/>
  <c r="Q127" i="1" s="1"/>
  <c r="R22" i="1"/>
  <c r="R53" i="1" s="1"/>
  <c r="R99" i="1" s="1"/>
  <c r="R127" i="1" s="1"/>
  <c r="J9" i="2"/>
  <c r="I149" i="1"/>
  <c r="H104" i="1"/>
  <c r="H66" i="1"/>
  <c r="H137" i="1" s="1"/>
  <c r="H59" i="1"/>
  <c r="H153" i="1" s="1"/>
  <c r="H51" i="1"/>
  <c r="H97" i="1" s="1"/>
  <c r="H126" i="1" s="1"/>
  <c r="H135" i="1"/>
  <c r="H63" i="1"/>
  <c r="I35" i="1"/>
  <c r="I58" i="1" s="1"/>
  <c r="G64" i="1"/>
  <c r="G68" i="1" s="1"/>
  <c r="H105" i="1"/>
  <c r="G110" i="1"/>
  <c r="H106" i="1"/>
  <c r="H58" i="1"/>
  <c r="H60" i="1"/>
  <c r="F95" i="1"/>
  <c r="H133" i="1"/>
  <c r="I123" i="1"/>
  <c r="H134" i="1"/>
  <c r="H132" i="1"/>
  <c r="G136" i="1"/>
  <c r="H131" i="1"/>
  <c r="H130" i="1"/>
  <c r="H92" i="1" l="1"/>
  <c r="I92" i="1" s="1"/>
  <c r="J92" i="1" s="1"/>
  <c r="K92" i="1" s="1"/>
  <c r="L92" i="1" s="1"/>
  <c r="M92" i="1" s="1"/>
  <c r="N92" i="1" s="1"/>
  <c r="O92" i="1" s="1"/>
  <c r="P92" i="1" s="1"/>
  <c r="Q92" i="1" s="1"/>
  <c r="R92" i="1" s="1"/>
  <c r="S92" i="1" s="1"/>
  <c r="T92" i="1" s="1"/>
  <c r="U92" i="1" s="1"/>
  <c r="V92" i="1" s="1"/>
  <c r="W92" i="1" s="1"/>
  <c r="X92" i="1" s="1"/>
  <c r="Y92" i="1" s="1"/>
  <c r="Z92" i="1" s="1"/>
  <c r="AA92" i="1" s="1"/>
  <c r="AB92" i="1" s="1"/>
  <c r="AC92" i="1" s="1"/>
  <c r="AD92" i="1" s="1"/>
  <c r="G95" i="1"/>
  <c r="G101" i="1" s="1"/>
  <c r="G112" i="1" s="1"/>
  <c r="J108" i="1"/>
  <c r="J107" i="1"/>
  <c r="J61" i="1"/>
  <c r="K107" i="1"/>
  <c r="K61" i="1"/>
  <c r="L37" i="1"/>
  <c r="K62" i="1"/>
  <c r="K108" i="1"/>
  <c r="G49" i="1"/>
  <c r="G70" i="1" s="1"/>
  <c r="H49" i="1"/>
  <c r="I60" i="1"/>
  <c r="H64" i="1"/>
  <c r="H68" i="1" s="1"/>
  <c r="J149" i="1"/>
  <c r="K9" i="2"/>
  <c r="J35" i="1"/>
  <c r="J60" i="1" s="1"/>
  <c r="I106" i="1"/>
  <c r="I59" i="1"/>
  <c r="I153" i="1" s="1"/>
  <c r="I132" i="1"/>
  <c r="I135" i="1"/>
  <c r="I105" i="1"/>
  <c r="I104" i="1"/>
  <c r="I131" i="1"/>
  <c r="I66" i="1"/>
  <c r="I137" i="1" s="1"/>
  <c r="H110" i="1"/>
  <c r="I109" i="1"/>
  <c r="I51" i="1"/>
  <c r="I97" i="1" s="1"/>
  <c r="I126" i="1" s="1"/>
  <c r="I63" i="1"/>
  <c r="I130" i="1"/>
  <c r="H136" i="1"/>
  <c r="G152" i="1"/>
  <c r="I134" i="1"/>
  <c r="I133" i="1"/>
  <c r="J123" i="1"/>
  <c r="J46" i="1"/>
  <c r="I49" i="1"/>
  <c r="J95" i="1" l="1"/>
  <c r="J148" i="1" s="1"/>
  <c r="J150" i="1" s="1"/>
  <c r="K35" i="8" s="1"/>
  <c r="H95" i="1"/>
  <c r="H148" i="1" s="1"/>
  <c r="H150" i="1" s="1"/>
  <c r="I35" i="8" s="1"/>
  <c r="I95" i="1"/>
  <c r="I148" i="1" s="1"/>
  <c r="I150" i="1" s="1"/>
  <c r="J35" i="8" s="1"/>
  <c r="G148" i="1"/>
  <c r="G150" i="1" s="1"/>
  <c r="H35" i="8" s="1"/>
  <c r="G125" i="1"/>
  <c r="G139" i="1" s="1"/>
  <c r="G154" i="1"/>
  <c r="G155" i="1" s="1"/>
  <c r="H152" i="1"/>
  <c r="G114" i="1"/>
  <c r="G118" i="1" s="1"/>
  <c r="L61" i="1"/>
  <c r="L107" i="1"/>
  <c r="L108" i="1"/>
  <c r="L62" i="1"/>
  <c r="M37" i="1"/>
  <c r="H70" i="1"/>
  <c r="I64" i="1"/>
  <c r="I68" i="1" s="1"/>
  <c r="I70" i="1" s="1"/>
  <c r="J105" i="1"/>
  <c r="J58" i="1"/>
  <c r="J59" i="1"/>
  <c r="J153" i="1" s="1"/>
  <c r="J66" i="1"/>
  <c r="J137" i="1" s="1"/>
  <c r="J51" i="1"/>
  <c r="J97" i="1" s="1"/>
  <c r="J126" i="1" s="1"/>
  <c r="J109" i="1"/>
  <c r="J135" i="1"/>
  <c r="J63" i="1"/>
  <c r="K35" i="1"/>
  <c r="K58" i="1" s="1"/>
  <c r="J104" i="1"/>
  <c r="J106" i="1"/>
  <c r="K149" i="1"/>
  <c r="L9" i="2"/>
  <c r="L149" i="1" s="1"/>
  <c r="M149" i="1" s="1"/>
  <c r="N149" i="1" s="1"/>
  <c r="O149" i="1" s="1"/>
  <c r="P149" i="1" s="1"/>
  <c r="Q149" i="1" s="1"/>
  <c r="R149" i="1" s="1"/>
  <c r="S149" i="1" s="1"/>
  <c r="T149" i="1" s="1"/>
  <c r="U149" i="1" s="1"/>
  <c r="V149" i="1" s="1"/>
  <c r="W149" i="1" s="1"/>
  <c r="X149" i="1" s="1"/>
  <c r="Y149" i="1" s="1"/>
  <c r="I110" i="1"/>
  <c r="I136" i="1"/>
  <c r="I101" i="1"/>
  <c r="K123" i="1"/>
  <c r="J134" i="1"/>
  <c r="J133" i="1"/>
  <c r="J132" i="1"/>
  <c r="J131" i="1"/>
  <c r="J130" i="1"/>
  <c r="J49" i="1"/>
  <c r="K46" i="1"/>
  <c r="K95" i="1"/>
  <c r="I125" i="1" l="1"/>
  <c r="I139" i="1" s="1"/>
  <c r="H125" i="1"/>
  <c r="H139" i="1" s="1"/>
  <c r="H101" i="1"/>
  <c r="H112" i="1" s="1"/>
  <c r="H154" i="1" s="1"/>
  <c r="J125" i="1"/>
  <c r="I152" i="1"/>
  <c r="L35" i="1"/>
  <c r="L51" i="1" s="1"/>
  <c r="L97" i="1" s="1"/>
  <c r="L126" i="1" s="1"/>
  <c r="K104" i="1"/>
  <c r="K59" i="1"/>
  <c r="K153" i="1" s="1"/>
  <c r="K106" i="1"/>
  <c r="M61" i="1"/>
  <c r="N37" i="1"/>
  <c r="M62" i="1"/>
  <c r="M108" i="1"/>
  <c r="M107" i="1"/>
  <c r="K105" i="1"/>
  <c r="K130" i="1"/>
  <c r="J110" i="1"/>
  <c r="K63" i="1"/>
  <c r="K135" i="1"/>
  <c r="K66" i="1"/>
  <c r="K137" i="1" s="1"/>
  <c r="K109" i="1"/>
  <c r="K51" i="1"/>
  <c r="K97" i="1" s="1"/>
  <c r="K126" i="1" s="1"/>
  <c r="K132" i="1"/>
  <c r="J64" i="1"/>
  <c r="J68" i="1" s="1"/>
  <c r="J70" i="1" s="1"/>
  <c r="J101" i="1"/>
  <c r="K60" i="1"/>
  <c r="I112" i="1"/>
  <c r="J136" i="1"/>
  <c r="K134" i="1"/>
  <c r="L123" i="1"/>
  <c r="K133" i="1"/>
  <c r="K131" i="1"/>
  <c r="L46" i="1"/>
  <c r="K49" i="1"/>
  <c r="K125" i="1"/>
  <c r="K148" i="1"/>
  <c r="K150" i="1" s="1"/>
  <c r="L35" i="8" s="1"/>
  <c r="L95" i="1"/>
  <c r="H36" i="8"/>
  <c r="J139" i="1" l="1"/>
  <c r="H114" i="1"/>
  <c r="H118" i="1" s="1"/>
  <c r="L58" i="1"/>
  <c r="L132" i="1"/>
  <c r="L63" i="1"/>
  <c r="H155" i="1"/>
  <c r="I36" i="8" s="1"/>
  <c r="I114" i="1"/>
  <c r="I118" i="1" s="1"/>
  <c r="J152" i="1"/>
  <c r="L60" i="1"/>
  <c r="L105" i="1"/>
  <c r="L109" i="1"/>
  <c r="L106" i="1"/>
  <c r="L59" i="1"/>
  <c r="L153" i="1" s="1"/>
  <c r="L66" i="1"/>
  <c r="L137" i="1" s="1"/>
  <c r="L104" i="1"/>
  <c r="K101" i="1"/>
  <c r="M35" i="1"/>
  <c r="M60" i="1" s="1"/>
  <c r="L135" i="1"/>
  <c r="L131" i="1"/>
  <c r="J112" i="1"/>
  <c r="K110" i="1"/>
  <c r="N107" i="1"/>
  <c r="N108" i="1"/>
  <c r="N61" i="1"/>
  <c r="O37" i="1"/>
  <c r="N62" i="1"/>
  <c r="K64" i="1"/>
  <c r="K68" i="1" s="1"/>
  <c r="K70" i="1" s="1"/>
  <c r="L130" i="1"/>
  <c r="K136" i="1"/>
  <c r="K139" i="1" s="1"/>
  <c r="I154" i="1"/>
  <c r="L133" i="1"/>
  <c r="L134" i="1"/>
  <c r="M123" i="1"/>
  <c r="M66" i="1"/>
  <c r="M137" i="1" s="1"/>
  <c r="L125" i="1"/>
  <c r="L101" i="1"/>
  <c r="L148" i="1"/>
  <c r="L150" i="1" s="1"/>
  <c r="M35" i="8" s="1"/>
  <c r="L49" i="1"/>
  <c r="M46" i="1"/>
  <c r="M95" i="1"/>
  <c r="M132" i="1" l="1"/>
  <c r="N35" i="1"/>
  <c r="M106" i="1"/>
  <c r="M104" i="1"/>
  <c r="L64" i="1"/>
  <c r="L68" i="1" s="1"/>
  <c r="L70" i="1" s="1"/>
  <c r="M51" i="1"/>
  <c r="M97" i="1" s="1"/>
  <c r="M126" i="1" s="1"/>
  <c r="M135" i="1"/>
  <c r="M109" i="1"/>
  <c r="N35" i="8"/>
  <c r="M63" i="1"/>
  <c r="M58" i="1"/>
  <c r="M105" i="1"/>
  <c r="L110" i="1"/>
  <c r="L152" i="1" s="1"/>
  <c r="M59" i="1"/>
  <c r="M153" i="1" s="1"/>
  <c r="I155" i="1"/>
  <c r="J36" i="8" s="1"/>
  <c r="J154" i="1"/>
  <c r="K152" i="1"/>
  <c r="J114" i="1"/>
  <c r="J118" i="1" s="1"/>
  <c r="K112" i="1"/>
  <c r="O62" i="1"/>
  <c r="P37" i="1"/>
  <c r="O61" i="1"/>
  <c r="O108" i="1"/>
  <c r="O107" i="1"/>
  <c r="M130" i="1"/>
  <c r="M131" i="1"/>
  <c r="L136" i="1"/>
  <c r="L139" i="1" s="1"/>
  <c r="M134" i="1"/>
  <c r="M133" i="1"/>
  <c r="N123" i="1"/>
  <c r="N130" i="1" s="1"/>
  <c r="N105" i="1"/>
  <c r="N58" i="1"/>
  <c r="N104" i="1"/>
  <c r="N135" i="1"/>
  <c r="N60" i="1"/>
  <c r="N106" i="1"/>
  <c r="N109" i="1"/>
  <c r="N66" i="1"/>
  <c r="N137" i="1" s="1"/>
  <c r="N59" i="1"/>
  <c r="N153" i="1" s="1"/>
  <c r="N51" i="1"/>
  <c r="N97" i="1" s="1"/>
  <c r="N126" i="1" s="1"/>
  <c r="N63" i="1"/>
  <c r="O35" i="1"/>
  <c r="M49" i="1"/>
  <c r="N46" i="1"/>
  <c r="M125" i="1"/>
  <c r="M148" i="1"/>
  <c r="M150" i="1" s="1"/>
  <c r="N95" i="1"/>
  <c r="M110" i="1" l="1"/>
  <c r="M152" i="1" s="1"/>
  <c r="M101" i="1"/>
  <c r="L112" i="1"/>
  <c r="M64" i="1"/>
  <c r="M68" i="1" s="1"/>
  <c r="M70" i="1" s="1"/>
  <c r="J155" i="1"/>
  <c r="K36" i="8" s="1"/>
  <c r="K154" i="1"/>
  <c r="N131" i="1"/>
  <c r="K114" i="1"/>
  <c r="K118" i="1" s="1"/>
  <c r="P108" i="1"/>
  <c r="P62" i="1"/>
  <c r="P61" i="1"/>
  <c r="Q37" i="1"/>
  <c r="P107" i="1"/>
  <c r="N132" i="1"/>
  <c r="M136" i="1"/>
  <c r="M139" i="1" s="1"/>
  <c r="N110" i="1"/>
  <c r="N152" i="1" s="1"/>
  <c r="O66" i="1"/>
  <c r="O137" i="1" s="1"/>
  <c r="O104" i="1"/>
  <c r="O105" i="1"/>
  <c r="P35" i="1"/>
  <c r="O51" i="1"/>
  <c r="O97" i="1" s="1"/>
  <c r="O126" i="1" s="1"/>
  <c r="O58" i="1"/>
  <c r="O109" i="1"/>
  <c r="O106" i="1"/>
  <c r="O63" i="1"/>
  <c r="O60" i="1"/>
  <c r="O59" i="1"/>
  <c r="O153" i="1" s="1"/>
  <c r="O135" i="1"/>
  <c r="N64" i="1"/>
  <c r="N68" i="1" s="1"/>
  <c r="N133" i="1"/>
  <c r="O123" i="1"/>
  <c r="N134" i="1"/>
  <c r="O46" i="1"/>
  <c r="N49" i="1"/>
  <c r="O95" i="1"/>
  <c r="N125" i="1"/>
  <c r="N101" i="1"/>
  <c r="N148" i="1"/>
  <c r="N150" i="1" s="1"/>
  <c r="M112" i="1" l="1"/>
  <c r="M154" i="1" s="1"/>
  <c r="M155" i="1" s="1"/>
  <c r="L154" i="1"/>
  <c r="G157" i="1" s="1"/>
  <c r="L114" i="1"/>
  <c r="L118" i="1" s="1"/>
  <c r="K155" i="1"/>
  <c r="L36" i="8" s="1"/>
  <c r="Q62" i="1"/>
  <c r="Q61" i="1"/>
  <c r="Q107" i="1"/>
  <c r="Q108" i="1"/>
  <c r="R37" i="1"/>
  <c r="N136" i="1"/>
  <c r="N139" i="1" s="1"/>
  <c r="O110" i="1"/>
  <c r="O152" i="1" s="1"/>
  <c r="N70" i="1"/>
  <c r="O133" i="1"/>
  <c r="O134" i="1"/>
  <c r="P123" i="1"/>
  <c r="P131" i="1" s="1"/>
  <c r="O131" i="1"/>
  <c r="O64" i="1"/>
  <c r="O68" i="1" s="1"/>
  <c r="O132" i="1"/>
  <c r="O130" i="1"/>
  <c r="P59" i="1"/>
  <c r="P153" i="1" s="1"/>
  <c r="P51" i="1"/>
  <c r="P97" i="1" s="1"/>
  <c r="P126" i="1" s="1"/>
  <c r="P58" i="1"/>
  <c r="P109" i="1"/>
  <c r="P60" i="1"/>
  <c r="P105" i="1"/>
  <c r="P106" i="1"/>
  <c r="Q35" i="1"/>
  <c r="P66" i="1"/>
  <c r="P137" i="1" s="1"/>
  <c r="P104" i="1"/>
  <c r="P135" i="1"/>
  <c r="P63" i="1"/>
  <c r="N112" i="1"/>
  <c r="P95" i="1"/>
  <c r="O148" i="1"/>
  <c r="O150" i="1" s="1"/>
  <c r="O101" i="1"/>
  <c r="O125" i="1"/>
  <c r="P46" i="1"/>
  <c r="O49" i="1"/>
  <c r="M114" i="1" l="1"/>
  <c r="M118" i="1" s="1"/>
  <c r="P130" i="1"/>
  <c r="L155" i="1"/>
  <c r="G160" i="1" s="1"/>
  <c r="R62" i="1"/>
  <c r="S37" i="1"/>
  <c r="R61" i="1"/>
  <c r="R108" i="1"/>
  <c r="R107" i="1"/>
  <c r="P132" i="1"/>
  <c r="P64" i="1"/>
  <c r="P68" i="1" s="1"/>
  <c r="O136" i="1"/>
  <c r="O139" i="1" s="1"/>
  <c r="O70" i="1"/>
  <c r="P110" i="1"/>
  <c r="P152" i="1" s="1"/>
  <c r="Q60" i="1"/>
  <c r="Q59" i="1"/>
  <c r="Q153" i="1" s="1"/>
  <c r="Q105" i="1"/>
  <c r="Q58" i="1"/>
  <c r="R35" i="1"/>
  <c r="Q51" i="1"/>
  <c r="Q97" i="1" s="1"/>
  <c r="Q126" i="1" s="1"/>
  <c r="Q63" i="1"/>
  <c r="Q66" i="1"/>
  <c r="Q137" i="1" s="1"/>
  <c r="Q106" i="1"/>
  <c r="Q104" i="1"/>
  <c r="Q135" i="1"/>
  <c r="Q109" i="1"/>
  <c r="P133" i="1"/>
  <c r="P134" i="1"/>
  <c r="Q123" i="1"/>
  <c r="Q132" i="1" s="1"/>
  <c r="N154" i="1"/>
  <c r="N155" i="1" s="1"/>
  <c r="N114" i="1"/>
  <c r="N118" i="1" s="1"/>
  <c r="Q46" i="1"/>
  <c r="P49" i="1"/>
  <c r="O112" i="1"/>
  <c r="Q95" i="1"/>
  <c r="P148" i="1"/>
  <c r="P150" i="1" s="1"/>
  <c r="P101" i="1"/>
  <c r="P125" i="1"/>
  <c r="G159" i="1" l="1"/>
  <c r="M36" i="8"/>
  <c r="O37" i="8" s="1"/>
  <c r="Q131" i="1"/>
  <c r="T37" i="1"/>
  <c r="S107" i="1"/>
  <c r="S62" i="1"/>
  <c r="S108" i="1"/>
  <c r="S61" i="1"/>
  <c r="P136" i="1"/>
  <c r="P139" i="1" s="1"/>
  <c r="P70" i="1"/>
  <c r="Q64" i="1"/>
  <c r="Q68" i="1" s="1"/>
  <c r="Q133" i="1"/>
  <c r="Q134" i="1"/>
  <c r="R123" i="1"/>
  <c r="R131" i="1" s="1"/>
  <c r="R60" i="1"/>
  <c r="R105" i="1"/>
  <c r="R58" i="1"/>
  <c r="R51" i="1"/>
  <c r="R97" i="1" s="1"/>
  <c r="R126" i="1" s="1"/>
  <c r="R66" i="1"/>
  <c r="R137" i="1" s="1"/>
  <c r="R104" i="1"/>
  <c r="R59" i="1"/>
  <c r="R153" i="1" s="1"/>
  <c r="R106" i="1"/>
  <c r="R63" i="1"/>
  <c r="S35" i="1"/>
  <c r="R135" i="1"/>
  <c r="R109" i="1"/>
  <c r="Q110" i="1"/>
  <c r="Q152" i="1" s="1"/>
  <c r="Q130" i="1"/>
  <c r="O154" i="1"/>
  <c r="O155" i="1" s="1"/>
  <c r="O114" i="1"/>
  <c r="O118" i="1" s="1"/>
  <c r="P112" i="1"/>
  <c r="R46" i="1"/>
  <c r="Q49" i="1"/>
  <c r="Q148" i="1"/>
  <c r="Q150" i="1" s="1"/>
  <c r="Q101" i="1"/>
  <c r="Q125" i="1"/>
  <c r="R95" i="1"/>
  <c r="N36" i="8" l="1"/>
  <c r="R132" i="1"/>
  <c r="R130" i="1"/>
  <c r="T61" i="1"/>
  <c r="T62" i="1"/>
  <c r="T107" i="1"/>
  <c r="U37" i="1"/>
  <c r="T108" i="1"/>
  <c r="Q136" i="1"/>
  <c r="Q139" i="1" s="1"/>
  <c r="Q70" i="1"/>
  <c r="R110" i="1"/>
  <c r="R152" i="1" s="1"/>
  <c r="R133" i="1"/>
  <c r="R134" i="1"/>
  <c r="S123" i="1"/>
  <c r="S131" i="1" s="1"/>
  <c r="S106" i="1"/>
  <c r="T35" i="1"/>
  <c r="S58" i="1"/>
  <c r="S66" i="1"/>
  <c r="S137" i="1" s="1"/>
  <c r="S51" i="1"/>
  <c r="S97" i="1" s="1"/>
  <c r="S126" i="1" s="1"/>
  <c r="S59" i="1"/>
  <c r="S153" i="1" s="1"/>
  <c r="S105" i="1"/>
  <c r="S104" i="1"/>
  <c r="S60" i="1"/>
  <c r="S63" i="1"/>
  <c r="S135" i="1"/>
  <c r="S109" i="1"/>
  <c r="R64" i="1"/>
  <c r="R68" i="1" s="1"/>
  <c r="R148" i="1"/>
  <c r="R150" i="1" s="1"/>
  <c r="R101" i="1"/>
  <c r="R125" i="1"/>
  <c r="P154" i="1"/>
  <c r="P155" i="1" s="1"/>
  <c r="P114" i="1"/>
  <c r="P118" i="1" s="1"/>
  <c r="Q112" i="1"/>
  <c r="S95" i="1"/>
  <c r="S46" i="1"/>
  <c r="R49" i="1"/>
  <c r="R136" i="1" l="1"/>
  <c r="R139" i="1" s="1"/>
  <c r="U108" i="1"/>
  <c r="U107" i="1"/>
  <c r="V37" i="1"/>
  <c r="U61" i="1"/>
  <c r="U62" i="1"/>
  <c r="S132" i="1"/>
  <c r="S110" i="1"/>
  <c r="S152" i="1" s="1"/>
  <c r="S64" i="1"/>
  <c r="S68" i="1" s="1"/>
  <c r="T123" i="1"/>
  <c r="T132" i="1" s="1"/>
  <c r="S133" i="1"/>
  <c r="S134" i="1"/>
  <c r="T109" i="1"/>
  <c r="U35" i="1"/>
  <c r="T106" i="1"/>
  <c r="T51" i="1"/>
  <c r="T97" i="1" s="1"/>
  <c r="T126" i="1" s="1"/>
  <c r="T66" i="1"/>
  <c r="T137" i="1" s="1"/>
  <c r="T63" i="1"/>
  <c r="T60" i="1"/>
  <c r="T104" i="1"/>
  <c r="T59" i="1"/>
  <c r="T153" i="1" s="1"/>
  <c r="T58" i="1"/>
  <c r="T105" i="1"/>
  <c r="T135" i="1"/>
  <c r="S130" i="1"/>
  <c r="R70" i="1"/>
  <c r="S101" i="1"/>
  <c r="S148" i="1"/>
  <c r="S150" i="1" s="1"/>
  <c r="S125" i="1"/>
  <c r="Q154" i="1"/>
  <c r="Q155" i="1" s="1"/>
  <c r="Q114" i="1"/>
  <c r="Q118" i="1" s="1"/>
  <c r="R112" i="1"/>
  <c r="T46" i="1"/>
  <c r="S49" i="1"/>
  <c r="T95" i="1"/>
  <c r="T130" i="1" l="1"/>
  <c r="T131" i="1"/>
  <c r="V61" i="1"/>
  <c r="V107" i="1"/>
  <c r="V62" i="1"/>
  <c r="V108" i="1"/>
  <c r="W37" i="1"/>
  <c r="S136" i="1"/>
  <c r="S139" i="1" s="1"/>
  <c r="S70" i="1"/>
  <c r="U109" i="1"/>
  <c r="U106" i="1"/>
  <c r="U135" i="1"/>
  <c r="U104" i="1"/>
  <c r="U51" i="1"/>
  <c r="U97" i="1" s="1"/>
  <c r="U126" i="1" s="1"/>
  <c r="U60" i="1"/>
  <c r="V35" i="1"/>
  <c r="U63" i="1"/>
  <c r="U58" i="1"/>
  <c r="U59" i="1"/>
  <c r="U153" i="1" s="1"/>
  <c r="U66" i="1"/>
  <c r="U137" i="1" s="1"/>
  <c r="U105" i="1"/>
  <c r="T110" i="1"/>
  <c r="T152" i="1" s="1"/>
  <c r="T64" i="1"/>
  <c r="T68" i="1" s="1"/>
  <c r="U123" i="1"/>
  <c r="U130" i="1" s="1"/>
  <c r="T134" i="1"/>
  <c r="T133" i="1"/>
  <c r="T101" i="1"/>
  <c r="T148" i="1"/>
  <c r="T150" i="1" s="1"/>
  <c r="T125" i="1"/>
  <c r="S112" i="1"/>
  <c r="U46" i="1"/>
  <c r="T49" i="1"/>
  <c r="U95" i="1"/>
  <c r="R154" i="1"/>
  <c r="R155" i="1" s="1"/>
  <c r="R114" i="1"/>
  <c r="R118" i="1" s="1"/>
  <c r="W108" i="1" l="1"/>
  <c r="W61" i="1"/>
  <c r="W62" i="1"/>
  <c r="X37" i="1"/>
  <c r="W107" i="1"/>
  <c r="T136" i="1"/>
  <c r="T139" i="1" s="1"/>
  <c r="T70" i="1"/>
  <c r="U131" i="1"/>
  <c r="U134" i="1"/>
  <c r="U133" i="1"/>
  <c r="V123" i="1"/>
  <c r="V131" i="1" s="1"/>
  <c r="U64" i="1"/>
  <c r="U68" i="1" s="1"/>
  <c r="U132" i="1"/>
  <c r="V104" i="1"/>
  <c r="V106" i="1"/>
  <c r="V66" i="1"/>
  <c r="V137" i="1" s="1"/>
  <c r="V60" i="1"/>
  <c r="V51" i="1"/>
  <c r="V97" i="1" s="1"/>
  <c r="V126" i="1" s="1"/>
  <c r="W35" i="1"/>
  <c r="V135" i="1"/>
  <c r="V58" i="1"/>
  <c r="V59" i="1"/>
  <c r="V153" i="1" s="1"/>
  <c r="V63" i="1"/>
  <c r="V109" i="1"/>
  <c r="V105" i="1"/>
  <c r="U110" i="1"/>
  <c r="U152" i="1" s="1"/>
  <c r="V95" i="1"/>
  <c r="U49" i="1"/>
  <c r="V46" i="1"/>
  <c r="S154" i="1"/>
  <c r="S155" i="1" s="1"/>
  <c r="S114" i="1"/>
  <c r="S118" i="1" s="1"/>
  <c r="U101" i="1"/>
  <c r="U148" i="1"/>
  <c r="U150" i="1" s="1"/>
  <c r="U125" i="1"/>
  <c r="T112" i="1"/>
  <c r="V132" i="1" l="1"/>
  <c r="X62" i="1"/>
  <c r="Y37" i="1"/>
  <c r="X61" i="1"/>
  <c r="X107" i="1"/>
  <c r="X108" i="1"/>
  <c r="V130" i="1"/>
  <c r="U136" i="1"/>
  <c r="U139" i="1" s="1"/>
  <c r="U70" i="1"/>
  <c r="W109" i="1"/>
  <c r="W105" i="1"/>
  <c r="W63" i="1"/>
  <c r="W104" i="1"/>
  <c r="W66" i="1"/>
  <c r="W137" i="1" s="1"/>
  <c r="W59" i="1"/>
  <c r="W153" i="1" s="1"/>
  <c r="W51" i="1"/>
  <c r="W97" i="1" s="1"/>
  <c r="W126" i="1" s="1"/>
  <c r="W60" i="1"/>
  <c r="X35" i="1"/>
  <c r="W58" i="1"/>
  <c r="W106" i="1"/>
  <c r="W135" i="1"/>
  <c r="W123" i="1"/>
  <c r="W132" i="1" s="1"/>
  <c r="V133" i="1"/>
  <c r="V134" i="1"/>
  <c r="V64" i="1"/>
  <c r="V68" i="1" s="1"/>
  <c r="V110" i="1"/>
  <c r="V152" i="1" s="1"/>
  <c r="T154" i="1"/>
  <c r="T155" i="1" s="1"/>
  <c r="T114" i="1"/>
  <c r="T118" i="1" s="1"/>
  <c r="V49" i="1"/>
  <c r="W46" i="1"/>
  <c r="V125" i="1"/>
  <c r="V101" i="1"/>
  <c r="V148" i="1"/>
  <c r="V150" i="1" s="1"/>
  <c r="U112" i="1"/>
  <c r="W95" i="1"/>
  <c r="Y107" i="1" l="1"/>
  <c r="Z37" i="1"/>
  <c r="Y61" i="1"/>
  <c r="Y62" i="1"/>
  <c r="Y108" i="1"/>
  <c r="V136" i="1"/>
  <c r="V139" i="1" s="1"/>
  <c r="W131" i="1"/>
  <c r="W130" i="1"/>
  <c r="V70" i="1"/>
  <c r="W133" i="1"/>
  <c r="X123" i="1"/>
  <c r="X131" i="1" s="1"/>
  <c r="W134" i="1"/>
  <c r="W64" i="1"/>
  <c r="W68" i="1" s="1"/>
  <c r="X104" i="1"/>
  <c r="X51" i="1"/>
  <c r="X97" i="1" s="1"/>
  <c r="X126" i="1" s="1"/>
  <c r="X60" i="1"/>
  <c r="X105" i="1"/>
  <c r="X66" i="1"/>
  <c r="X137" i="1" s="1"/>
  <c r="X58" i="1"/>
  <c r="X59" i="1"/>
  <c r="X153" i="1" s="1"/>
  <c r="Y35" i="1"/>
  <c r="X106" i="1"/>
  <c r="X63" i="1"/>
  <c r="X109" i="1"/>
  <c r="X135" i="1"/>
  <c r="W110" i="1"/>
  <c r="W152" i="1" s="1"/>
  <c r="W125" i="1"/>
  <c r="W101" i="1"/>
  <c r="W148" i="1"/>
  <c r="W150" i="1" s="1"/>
  <c r="W49" i="1"/>
  <c r="X46" i="1"/>
  <c r="X95" i="1"/>
  <c r="U154" i="1"/>
  <c r="U155" i="1" s="1"/>
  <c r="U114" i="1"/>
  <c r="U118" i="1" s="1"/>
  <c r="V112" i="1"/>
  <c r="Z107" i="1" l="1"/>
  <c r="Z61" i="1"/>
  <c r="AA37" i="1"/>
  <c r="Z108" i="1"/>
  <c r="Z62" i="1"/>
  <c r="W136" i="1"/>
  <c r="W139" i="1" s="1"/>
  <c r="X132" i="1"/>
  <c r="X130" i="1"/>
  <c r="W70" i="1"/>
  <c r="X110" i="1"/>
  <c r="X152" i="1" s="1"/>
  <c r="X64" i="1"/>
  <c r="X68" i="1" s="1"/>
  <c r="Y123" i="1"/>
  <c r="Y130" i="1" s="1"/>
  <c r="X133" i="1"/>
  <c r="X134" i="1"/>
  <c r="Y59" i="1"/>
  <c r="Y153" i="1" s="1"/>
  <c r="Y51" i="1"/>
  <c r="Y97" i="1" s="1"/>
  <c r="Y126" i="1" s="1"/>
  <c r="Y60" i="1"/>
  <c r="Z35" i="1"/>
  <c r="Y105" i="1"/>
  <c r="Y63" i="1"/>
  <c r="Y58" i="1"/>
  <c r="Y104" i="1"/>
  <c r="Y106" i="1"/>
  <c r="Y66" i="1"/>
  <c r="Y137" i="1" s="1"/>
  <c r="Y135" i="1"/>
  <c r="Y109" i="1"/>
  <c r="X148" i="1"/>
  <c r="X150" i="1" s="1"/>
  <c r="X125" i="1"/>
  <c r="X101" i="1"/>
  <c r="Y46" i="1"/>
  <c r="X49" i="1"/>
  <c r="Y95" i="1"/>
  <c r="V154" i="1"/>
  <c r="V155" i="1" s="1"/>
  <c r="V114" i="1"/>
  <c r="V118" i="1" s="1"/>
  <c r="W112" i="1"/>
  <c r="AA61" i="1" l="1"/>
  <c r="AA62" i="1"/>
  <c r="AA108" i="1"/>
  <c r="AB37" i="1"/>
  <c r="AA107" i="1"/>
  <c r="X136" i="1"/>
  <c r="X139" i="1" s="1"/>
  <c r="X70" i="1"/>
  <c r="Y110" i="1"/>
  <c r="Y152" i="1" s="1"/>
  <c r="Y64" i="1"/>
  <c r="Y68" i="1" s="1"/>
  <c r="Z123" i="1"/>
  <c r="Z130" i="1" s="1"/>
  <c r="Y134" i="1"/>
  <c r="Y133" i="1"/>
  <c r="Y131" i="1"/>
  <c r="Y132" i="1"/>
  <c r="Z60" i="1"/>
  <c r="Z51" i="1"/>
  <c r="Z97" i="1" s="1"/>
  <c r="Z126" i="1" s="1"/>
  <c r="Z109" i="1"/>
  <c r="Z104" i="1"/>
  <c r="Z58" i="1"/>
  <c r="Z66" i="1"/>
  <c r="Z137" i="1" s="1"/>
  <c r="Z59" i="1"/>
  <c r="Z153" i="1" s="1"/>
  <c r="AA35" i="1"/>
  <c r="Z105" i="1"/>
  <c r="Z106" i="1"/>
  <c r="Z135" i="1"/>
  <c r="Z63" i="1"/>
  <c r="Z95" i="1"/>
  <c r="Y148" i="1"/>
  <c r="Y150" i="1" s="1"/>
  <c r="Y101" i="1"/>
  <c r="Y125" i="1"/>
  <c r="W154" i="1"/>
  <c r="W155" i="1" s="1"/>
  <c r="W114" i="1"/>
  <c r="W118" i="1" s="1"/>
  <c r="Y49" i="1"/>
  <c r="Z46" i="1"/>
  <c r="X112" i="1"/>
  <c r="Z132" i="1" l="1"/>
  <c r="AC37" i="1"/>
  <c r="AB107" i="1"/>
  <c r="AB108" i="1"/>
  <c r="AB62" i="1"/>
  <c r="AB61" i="1"/>
  <c r="Y136" i="1"/>
  <c r="Y139" i="1" s="1"/>
  <c r="Y70" i="1"/>
  <c r="Z134" i="1"/>
  <c r="Z133" i="1"/>
  <c r="AA123" i="1"/>
  <c r="AA132" i="1" s="1"/>
  <c r="Z64" i="1"/>
  <c r="Z68" i="1" s="1"/>
  <c r="Z110" i="1"/>
  <c r="Z152" i="1" s="1"/>
  <c r="AA106" i="1"/>
  <c r="AA104" i="1"/>
  <c r="AA59" i="1"/>
  <c r="AA153" i="1" s="1"/>
  <c r="AA135" i="1"/>
  <c r="AB35" i="1"/>
  <c r="AA51" i="1"/>
  <c r="AA97" i="1" s="1"/>
  <c r="AA126" i="1" s="1"/>
  <c r="AA105" i="1"/>
  <c r="AA66" i="1"/>
  <c r="AA137" i="1" s="1"/>
  <c r="AA60" i="1"/>
  <c r="AA58" i="1"/>
  <c r="AA63" i="1"/>
  <c r="AA109" i="1"/>
  <c r="Z131" i="1"/>
  <c r="Y112" i="1"/>
  <c r="F29" i="8" s="1"/>
  <c r="X154" i="1"/>
  <c r="X155" i="1" s="1"/>
  <c r="X114" i="1"/>
  <c r="X118" i="1" s="1"/>
  <c r="Z49" i="1"/>
  <c r="AA46" i="1"/>
  <c r="Z101" i="1"/>
  <c r="Z125" i="1"/>
  <c r="AA95" i="1"/>
  <c r="AC108" i="1" l="1"/>
  <c r="AD37" i="1"/>
  <c r="AC62" i="1"/>
  <c r="AC107" i="1"/>
  <c r="AC61" i="1"/>
  <c r="AA130" i="1"/>
  <c r="AA131" i="1"/>
  <c r="Z136" i="1"/>
  <c r="Z139" i="1" s="1"/>
  <c r="AA64" i="1"/>
  <c r="AA68" i="1" s="1"/>
  <c r="Z70" i="1"/>
  <c r="AB105" i="1"/>
  <c r="AB60" i="1"/>
  <c r="AB66" i="1"/>
  <c r="AB137" i="1" s="1"/>
  <c r="AB51" i="1"/>
  <c r="AB97" i="1" s="1"/>
  <c r="AB126" i="1" s="1"/>
  <c r="AB109" i="1"/>
  <c r="AB58" i="1"/>
  <c r="AC35" i="1"/>
  <c r="AB59" i="1"/>
  <c r="AB153" i="1" s="1"/>
  <c r="AB106" i="1"/>
  <c r="AB104" i="1"/>
  <c r="AB135" i="1"/>
  <c r="AB63" i="1"/>
  <c r="AA110" i="1"/>
  <c r="AA152" i="1" s="1"/>
  <c r="AA133" i="1"/>
  <c r="AA134" i="1"/>
  <c r="AB123" i="1"/>
  <c r="AB132" i="1" s="1"/>
  <c r="AB95" i="1"/>
  <c r="AB46" i="1"/>
  <c r="AA49" i="1"/>
  <c r="Y154" i="1"/>
  <c r="Y155" i="1" s="1"/>
  <c r="Y114" i="1"/>
  <c r="Y118" i="1" s="1"/>
  <c r="AA125" i="1"/>
  <c r="AA101" i="1"/>
  <c r="Z112" i="1"/>
  <c r="AD62" i="1" l="1"/>
  <c r="AD108" i="1"/>
  <c r="AD107" i="1"/>
  <c r="AD61" i="1"/>
  <c r="AA136" i="1"/>
  <c r="AA139" i="1" s="1"/>
  <c r="AA70" i="1"/>
  <c r="AC66" i="1"/>
  <c r="AC137" i="1" s="1"/>
  <c r="AC105" i="1"/>
  <c r="AC58" i="1"/>
  <c r="AC104" i="1"/>
  <c r="AD35" i="1"/>
  <c r="AC135" i="1"/>
  <c r="AC63" i="1"/>
  <c r="AC60" i="1"/>
  <c r="AC51" i="1"/>
  <c r="AC97" i="1" s="1"/>
  <c r="AC126" i="1" s="1"/>
  <c r="AC59" i="1"/>
  <c r="AC153" i="1" s="1"/>
  <c r="AC106" i="1"/>
  <c r="AC109" i="1"/>
  <c r="AC123" i="1"/>
  <c r="AC130" i="1" s="1"/>
  <c r="AB133" i="1"/>
  <c r="AB134" i="1"/>
  <c r="AB64" i="1"/>
  <c r="AB68" i="1" s="1"/>
  <c r="AB110" i="1"/>
  <c r="AB152" i="1" s="1"/>
  <c r="AB131" i="1"/>
  <c r="AB130" i="1"/>
  <c r="Z154" i="1"/>
  <c r="Z155" i="1" s="1"/>
  <c r="Z114" i="1"/>
  <c r="Z118" i="1" s="1"/>
  <c r="AA112" i="1"/>
  <c r="AC46" i="1"/>
  <c r="AB49" i="1"/>
  <c r="AD95" i="1"/>
  <c r="AC95" i="1"/>
  <c r="AB125" i="1"/>
  <c r="AB101" i="1"/>
  <c r="AC131" i="1" l="1"/>
  <c r="AB136" i="1"/>
  <c r="AB139" i="1" s="1"/>
  <c r="AB70" i="1"/>
  <c r="AD135" i="1"/>
  <c r="AD51" i="1"/>
  <c r="AD97" i="1" s="1"/>
  <c r="AD126" i="1" s="1"/>
  <c r="AD60" i="1"/>
  <c r="AD104" i="1"/>
  <c r="AD59" i="1"/>
  <c r="AD153" i="1" s="1"/>
  <c r="AD66" i="1"/>
  <c r="AD137" i="1" s="1"/>
  <c r="AD58" i="1"/>
  <c r="AD106" i="1"/>
  <c r="AD109" i="1"/>
  <c r="AD105" i="1"/>
  <c r="AD63" i="1"/>
  <c r="AC64" i="1"/>
  <c r="AC68" i="1" s="1"/>
  <c r="AC133" i="1"/>
  <c r="AC134" i="1"/>
  <c r="AD123" i="1"/>
  <c r="AD130" i="1" s="1"/>
  <c r="AC132" i="1"/>
  <c r="AC110" i="1"/>
  <c r="AC152" i="1" s="1"/>
  <c r="AA154" i="1"/>
  <c r="AA155" i="1" s="1"/>
  <c r="AA114" i="1"/>
  <c r="AA118" i="1" s="1"/>
  <c r="AD46" i="1"/>
  <c r="AD49" i="1" s="1"/>
  <c r="AC49" i="1"/>
  <c r="AB112" i="1"/>
  <c r="AC101" i="1"/>
  <c r="AC125" i="1"/>
  <c r="AD125" i="1"/>
  <c r="AD101" i="1" l="1"/>
  <c r="AC136" i="1"/>
  <c r="AC139" i="1" s="1"/>
  <c r="AD64" i="1"/>
  <c r="AD68" i="1" s="1"/>
  <c r="AD70" i="1" s="1"/>
  <c r="AC70" i="1"/>
  <c r="AD131" i="1"/>
  <c r="AD110" i="1"/>
  <c r="AD152" i="1" s="1"/>
  <c r="AD132" i="1"/>
  <c r="AD133" i="1"/>
  <c r="AD134" i="1"/>
  <c r="AC112" i="1"/>
  <c r="AB154" i="1"/>
  <c r="AB155" i="1" s="1"/>
  <c r="AB114" i="1"/>
  <c r="AB118" i="1" s="1"/>
  <c r="AD136" i="1" l="1"/>
  <c r="AD139" i="1" s="1"/>
  <c r="F141" i="1" s="1"/>
  <c r="AD112" i="1"/>
  <c r="AD114" i="1" s="1"/>
  <c r="AD118" i="1" s="1"/>
  <c r="AC154" i="1"/>
  <c r="AC155" i="1" s="1"/>
  <c r="AC114" i="1"/>
  <c r="AC118" i="1" s="1"/>
  <c r="F142" i="1" l="1"/>
  <c r="G142" i="1"/>
  <c r="AD154" i="1"/>
  <c r="AD155" i="1" s="1"/>
  <c r="F143" i="1" l="1"/>
  <c r="F144" i="1" s="1"/>
  <c r="F31" i="8" s="1"/>
</calcChain>
</file>

<file path=xl/sharedStrings.xml><?xml version="1.0" encoding="utf-8"?>
<sst xmlns="http://schemas.openxmlformats.org/spreadsheetml/2006/main" count="525" uniqueCount="257">
  <si>
    <t>&gt;75%</t>
  </si>
  <si>
    <t>&lt;25%</t>
  </si>
  <si>
    <t>&gt;90%</t>
  </si>
  <si>
    <t>Inputs</t>
  </si>
  <si>
    <t>Min</t>
  </si>
  <si>
    <t>Max</t>
  </si>
  <si>
    <t>Point estimate</t>
  </si>
  <si>
    <t>Middle Value (for reference only)</t>
  </si>
  <si>
    <t>Outputs</t>
  </si>
  <si>
    <t>Transition price change</t>
  </si>
  <si>
    <t>Transition years</t>
  </si>
  <si>
    <t>Transition year</t>
  </si>
  <si>
    <t>Real Interest Rate</t>
  </si>
  <si>
    <t xml:space="preserve">Transition price change </t>
  </si>
  <si>
    <t>Post-transition price change</t>
  </si>
  <si>
    <t>Single value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</si>
  <si>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</si>
  <si>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</si>
  <si>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</si>
  <si>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</si>
  <si>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</si>
  <si>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</si>
  <si>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</si>
  <si>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</si>
  <si>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</si>
  <si>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</si>
  <si>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</si>
  <si>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</si>
  <si>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</si>
  <si>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</si>
  <si>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</si>
  <si>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</si>
  <si>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</si>
  <si>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</si>
  <si>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</si>
  <si>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</si>
  <si>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</si>
  <si>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</si>
  <si>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</si>
  <si>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</si>
  <si>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Initial inputs</t>
  </si>
  <si>
    <t>Nominal Interest Rate</t>
  </si>
  <si>
    <t>2020/21</t>
  </si>
  <si>
    <t>Revenue before price change</t>
  </si>
  <si>
    <t>Total</t>
  </si>
  <si>
    <t>Responsive maintenance</t>
  </si>
  <si>
    <t>Interest on new debt</t>
  </si>
  <si>
    <t>Revenue</t>
  </si>
  <si>
    <t>Total funding</t>
  </si>
  <si>
    <t>Tier 1 expenditure</t>
  </si>
  <si>
    <t>Total Expenditure</t>
  </si>
  <si>
    <t>Change in Cash</t>
  </si>
  <si>
    <t>Check</t>
  </si>
  <si>
    <t>Total revenue</t>
  </si>
  <si>
    <t>Transition year decimals</t>
  </si>
  <si>
    <t>Infrastructure charges income</t>
  </si>
  <si>
    <t>2017/18</t>
  </si>
  <si>
    <t>2018/19</t>
  </si>
  <si>
    <t>2019/20</t>
  </si>
  <si>
    <t>Model Log</t>
  </si>
  <si>
    <t>V2:</t>
  </si>
  <si>
    <t>Description</t>
  </si>
  <si>
    <t>Added functionality for a policy change for council tax reduction relief</t>
  </si>
  <si>
    <t>Reference</t>
  </si>
  <si>
    <t>Who made the change</t>
  </si>
  <si>
    <t>'Model' sheet rows 10, 46 and 82</t>
  </si>
  <si>
    <t>Version</t>
  </si>
  <si>
    <t>2015/16</t>
  </si>
  <si>
    <t>2016/17</t>
  </si>
  <si>
    <t>M7.1</t>
  </si>
  <si>
    <t>Household revenue</t>
  </si>
  <si>
    <t>Units</t>
  </si>
  <si>
    <t>Household growth</t>
  </si>
  <si>
    <t>Non-household revenue</t>
  </si>
  <si>
    <t>M7.3</t>
  </si>
  <si>
    <t>Operating expenditure</t>
  </si>
  <si>
    <t>PPP costs</t>
  </si>
  <si>
    <t>Water and wastewater reasonable cost contributions (RCCs)</t>
  </si>
  <si>
    <t>Interest paid</t>
  </si>
  <si>
    <t>Taxation</t>
  </si>
  <si>
    <t>M1.2</t>
  </si>
  <si>
    <t>M1.3</t>
  </si>
  <si>
    <t>G5.7</t>
  </si>
  <si>
    <t>M6</t>
  </si>
  <si>
    <t>£m; outturn prices</t>
  </si>
  <si>
    <t>RPI inflation index</t>
  </si>
  <si>
    <t>RPI inflation factor: outturn to 2018/19 prices</t>
  </si>
  <si>
    <t>2012/13</t>
  </si>
  <si>
    <t>…</t>
  </si>
  <si>
    <t>£m; 2017/18 prices</t>
  </si>
  <si>
    <t>Update for 2019/20 actuals</t>
  </si>
  <si>
    <t>New sheet added</t>
  </si>
  <si>
    <t>Other sources of income (excluding third party services)</t>
  </si>
  <si>
    <t>Note:</t>
  </si>
  <si>
    <t>Household:</t>
  </si>
  <si>
    <t>Non-household:</t>
  </si>
  <si>
    <t>Updated closing household revenue in 2020/21 for actual CPI for October 2019</t>
  </si>
  <si>
    <t>Updated the non-household additional K-factor based on actual CPI for October 2019</t>
  </si>
  <si>
    <t xml:space="preserve">'Update for 201819 actuals' sheet row 11 </t>
  </si>
  <si>
    <t>V3:</t>
  </si>
  <si>
    <t>V4:</t>
  </si>
  <si>
    <t xml:space="preserve">'Control' sheet row 18 </t>
  </si>
  <si>
    <t>'Model' sheet rows 19, 48 and 84</t>
  </si>
  <si>
    <t>'Control' sheet rows 18 and 19</t>
  </si>
  <si>
    <t>'Control' sheet row 7</t>
  </si>
  <si>
    <t>'Model' sheet rows 71 to 86</t>
  </si>
  <si>
    <t>'Control' sheet rows 21 and 22</t>
  </si>
  <si>
    <t>GF1_rK0qDwEAEADUAAwjACYAOQBWAGoAawB5AIcArgDQAMoAKgD//wAAAAAAAQQAAAAABTAuMDAlAAAAARdUcmFuc2l0aW9uIHByaWNlIGNoYW5nZQEAAQEQAAIAAQpTdGF0aXN0aWNzAwEBAP8BAQEBAQABAQEABAAAAAEBAQEBAAEBAQAEAAAAAYsAAh8AF1RyYW5zaXRpb24gcHJpY2UgY2hhbmdlAAAvAQACAAIAtgDAAAEBAgEAAAAAAAAAAAAAZmZmZmZm7j8AAAUAAQEBAAEBAQA=</t>
  </si>
  <si>
    <t>V5:</t>
  </si>
  <si>
    <t>'Model' sheet cell D80</t>
  </si>
  <si>
    <t>CPI inflation factor</t>
  </si>
  <si>
    <t>Inflation</t>
  </si>
  <si>
    <t>Allowed for revenue</t>
  </si>
  <si>
    <t>%</t>
  </si>
  <si>
    <t>Years</t>
  </si>
  <si>
    <t>£m; Projected outturn prices</t>
  </si>
  <si>
    <t>Minimum cash balance in 2026/27</t>
  </si>
  <si>
    <t>Number of Years that the annual efficiency challenge is applied</t>
  </si>
  <si>
    <t>'Tier 2' Capex</t>
  </si>
  <si>
    <t>Tramlines around 'Tier 1' expenditure</t>
  </si>
  <si>
    <t>Annual efficiency challenge applied to 'Tier 1' expenditure</t>
  </si>
  <si>
    <t>Year reference</t>
  </si>
  <si>
    <t>Cost inflation index factor</t>
  </si>
  <si>
    <t>Cost inflation index factor used to convert prices from 2017/18 to projected outturn prices</t>
  </si>
  <si>
    <t>Efficiency index factor used to estimate the post-efficiency expenditure</t>
  </si>
  <si>
    <t>#</t>
  </si>
  <si>
    <t>Household revenue before SG proposed changes to Council Tax Reduction (CTR) relief</t>
  </si>
  <si>
    <t>Non-household revenues</t>
  </si>
  <si>
    <t>Other revenues</t>
  </si>
  <si>
    <t>Funding:</t>
  </si>
  <si>
    <t>Expenditure:</t>
  </si>
  <si>
    <t>Operating costs and Private Finance Initiative (PFI) expenditure</t>
  </si>
  <si>
    <t xml:space="preserve">Reasonable cost contributions + Other </t>
  </si>
  <si>
    <t xml:space="preserve">Embedded interest </t>
  </si>
  <si>
    <t>Total expenditure post transition</t>
  </si>
  <si>
    <t>Projected outturn</t>
  </si>
  <si>
    <t>Section 1: Price Calculation [this section of the model is used to estimate the required price increase]</t>
  </si>
  <si>
    <t>Section 2: Cash Flow statement [this section of the model provides the allowed for investment as an output]</t>
  </si>
  <si>
    <t>'Tier 1' expenditure (post efficiency)</t>
  </si>
  <si>
    <t>Tramlines around 'Tier 1'</t>
  </si>
  <si>
    <r>
      <t xml:space="preserve">'Tier 2' capital investment post transition </t>
    </r>
    <r>
      <rPr>
        <b/>
        <sz val="11"/>
        <color theme="1"/>
        <rFont val="Calibri"/>
        <family val="2"/>
        <scheme val="minor"/>
      </rPr>
      <t>[NB. Zero if price is selected as an input]</t>
    </r>
  </si>
  <si>
    <t>'Tier 1' expenditure (post-efficiency)</t>
  </si>
  <si>
    <t>Section 3: Transition year calculation [this section of the model provides the transition year as an output]</t>
  </si>
  <si>
    <t xml:space="preserve">Annual borrowing: Final Draft Principles of Charging </t>
  </si>
  <si>
    <t>'Tier 2' allowed for capital investment (post-efficiency)</t>
  </si>
  <si>
    <t>Selected transition year</t>
  </si>
  <si>
    <t>Shortfall in cash flows</t>
  </si>
  <si>
    <t>Shortfall in cash flows in transition year and subsequent year</t>
  </si>
  <si>
    <t xml:space="preserve">'Tier 1' expenditure (pre-efficiency) </t>
  </si>
  <si>
    <t>'Tier 1' maintenance investment (post-efficiency)</t>
  </si>
  <si>
    <t>Total allowed for investment</t>
  </si>
  <si>
    <t>'Tier 2' capital investment</t>
  </si>
  <si>
    <t>'Tier 2' capital investment over 2021-27: annual average</t>
  </si>
  <si>
    <t>Total investment over 2021-27: annual average</t>
  </si>
  <si>
    <t xml:space="preserve">Projected outturn to 2018/19 prices </t>
  </si>
  <si>
    <t>£m; 2018/19 prices</t>
  </si>
  <si>
    <t>Revenue inflation index factor</t>
  </si>
  <si>
    <t>Note</t>
  </si>
  <si>
    <t>Inflation applied to costs (RPI financial year average)</t>
  </si>
  <si>
    <t>Inflation applied to revenues (CPI preceding October)</t>
  </si>
  <si>
    <t>SW's £150m estimate in 2012/13 prices expressed in 2017/18 prices</t>
  </si>
  <si>
    <t>Average over previous three years</t>
  </si>
  <si>
    <t>Units; Price base</t>
  </si>
  <si>
    <t xml:space="preserve">OPEX + PFI </t>
  </si>
  <si>
    <t xml:space="preserve">Responsive maintenance </t>
  </si>
  <si>
    <t>Supplementary inputs</t>
  </si>
  <si>
    <t>Total investment over 2021-27</t>
  </si>
  <si>
    <t>'Tier 2' Capital investment</t>
  </si>
  <si>
    <t>Real interest rate</t>
  </si>
  <si>
    <t>Years over which the 'Tier 1' efficiency challenge is applied</t>
  </si>
  <si>
    <t>@Risk Outputs</t>
  </si>
  <si>
    <t>Other expenditure (including reasonable cost contributions)</t>
  </si>
  <si>
    <t xml:space="preserve">Forecast interest in 2020/21 </t>
  </si>
  <si>
    <t xml:space="preserve">Enhancement, replacement, non-responsive repair and refurbishment </t>
  </si>
  <si>
    <t>Total over the period</t>
  </si>
  <si>
    <t xml:space="preserve">%; Real </t>
  </si>
  <si>
    <t>Annual average</t>
  </si>
  <si>
    <t>'Tier 1 expenditure'</t>
  </si>
  <si>
    <t xml:space="preserve">V6: </t>
  </si>
  <si>
    <t>Projected cost Inflation</t>
  </si>
  <si>
    <t>HH revenue rolled forward to 2021</t>
  </si>
  <si>
    <t>Delivery Plan update 2020</t>
  </si>
  <si>
    <t>Annual Return 2019</t>
  </si>
  <si>
    <t>DP20</t>
  </si>
  <si>
    <t xml:space="preserve">Updated labels </t>
  </si>
  <si>
    <t>Comment</t>
  </si>
  <si>
    <t>Hard-coded fields</t>
  </si>
  <si>
    <t>All sheets</t>
  </si>
  <si>
    <t>CPI</t>
  </si>
  <si>
    <t>Household K-factor (real terms)</t>
  </si>
  <si>
    <r>
      <t>Reference</t>
    </r>
    <r>
      <rPr>
        <sz val="11"/>
        <color theme="1"/>
        <rFont val="Calibri"/>
        <family val="2"/>
        <scheme val="minor"/>
      </rPr>
      <t xml:space="preserve">
Annual Return / Reg Accounts</t>
    </r>
  </si>
  <si>
    <t>Nominal K-factor (Part of phasing the transition to 'live RVs')</t>
  </si>
  <si>
    <t>PFI costs</t>
  </si>
  <si>
    <t>Control sheet</t>
  </si>
  <si>
    <t>Model</t>
  </si>
  <si>
    <t>Reported actuals</t>
  </si>
  <si>
    <t>Sheet</t>
  </si>
  <si>
    <t>Overview</t>
  </si>
  <si>
    <t>Key:</t>
  </si>
  <si>
    <t>ONS</t>
  </si>
  <si>
    <t>Calculated</t>
  </si>
  <si>
    <t>Annual price change</t>
  </si>
  <si>
    <t>Leave this cell blank to show the price as the output of the model</t>
  </si>
  <si>
    <t>Calculations sheet for the model. This sheet provides the model calculations.</t>
  </si>
  <si>
    <t>This sheet provides additional inputs such as inflation.</t>
  </si>
  <si>
    <t>This sheet provides the reported revenues and expenditures which are used for the revenue and Tier 1 expenditure baselines.</t>
  </si>
  <si>
    <t>This spreadsheet model was developed for the Strategic Review of Charges 2021-27.</t>
  </si>
  <si>
    <t>Allowed for investment over 2021-27 (2% scenario)</t>
  </si>
  <si>
    <t>Enhancement and growth</t>
  </si>
  <si>
    <t>Asset replacement and net zero</t>
  </si>
  <si>
    <t>Recurring ('Tier 1') maintenance</t>
  </si>
  <si>
    <t xml:space="preserve">Ring-fenced allowance </t>
  </si>
  <si>
    <t>Pre-covid forecast</t>
  </si>
  <si>
    <t>2020/21 updated for the FD</t>
  </si>
  <si>
    <t xml:space="preserve">Years </t>
  </si>
  <si>
    <t>Projected price inflation</t>
  </si>
  <si>
    <t>Price delay over SR21</t>
  </si>
  <si>
    <t>Updated based on 2019/20 Regulatory Accounts</t>
  </si>
  <si>
    <t>V7:</t>
  </si>
  <si>
    <t xml:space="preserve">Separated out price and cost inflation </t>
  </si>
  <si>
    <t>'Control sheet' line 12
'Model sheet' line 19</t>
  </si>
  <si>
    <t>2020/21 is an assumption based on the projected inflation for 2020/21. It represents a 0.9% uplift to CPI of 0.7%</t>
  </si>
  <si>
    <t>Redacted</t>
  </si>
  <si>
    <t>Control sheet for the model. This sheet has three options for the outputs - price, level of 'Tier 2' investment in the selected transition year and the transition year. To recreate the outputs in the final determination, input 1.5% or 2% into cell F23</t>
  </si>
  <si>
    <t>Projected borrowing from 2032/33 onwards</t>
  </si>
  <si>
    <t xml:space="preserve">Changes to Council Tax Reduction (CTR) relief: Final Principles of Charging </t>
  </si>
  <si>
    <t>Revenue impact of SG changes to the Council Tax Reduction (CTR) scheme</t>
  </si>
  <si>
    <t>Annual 'Tier 1' efficiency challenge from 2027/28 onwards</t>
  </si>
  <si>
    <t>%; Real terms</t>
  </si>
  <si>
    <t>Real terms</t>
  </si>
  <si>
    <t>Number of years of delay</t>
  </si>
  <si>
    <t>Change in household revenues due to SG changes to Council Tax Reduction (CTR) relief</t>
  </si>
  <si>
    <t>Household revenue post SG changes to Council Tax Reduction (CTR) relief</t>
  </si>
  <si>
    <t xml:space="preserve">Annual borrowing: Final Principles of Charging </t>
  </si>
  <si>
    <t xml:space="preserve">Added functionality to delay the price increase </t>
  </si>
  <si>
    <t xml:space="preserve">Further updates to formulas in cell D80 </t>
  </si>
  <si>
    <t>Projected price inflation from 2022/23 onwards</t>
  </si>
  <si>
    <t>Projected cost inflation</t>
  </si>
  <si>
    <t>NHH revenue rolled forward to 2021. Updated based on 2019/20 Regulatory Accounts.</t>
  </si>
  <si>
    <t xml:space="preserve">Annual borrowing (Hard-coded for SRC21): Final Principles of Charging </t>
  </si>
  <si>
    <t>Cumulative price change to selected transition year</t>
  </si>
  <si>
    <t>Cumulative price change in transition year; annual</t>
  </si>
  <si>
    <t>Annual price change over the delay period</t>
  </si>
  <si>
    <t>Cumulative price change over the delay period</t>
  </si>
  <si>
    <t>Cumulative price change over the remainder of the transition period</t>
  </si>
  <si>
    <t>Annual price change over the transition period</t>
  </si>
  <si>
    <t>Annual price change after the transition period</t>
  </si>
  <si>
    <t xml:space="preserve">Range for closing household revenue in 2020/21 </t>
  </si>
  <si>
    <t xml:space="preserve">Range for closing non-household revenue in 2020/21 </t>
  </si>
  <si>
    <t>Projected household growth</t>
  </si>
  <si>
    <t xml:space="preserve">Projected non-household growth </t>
  </si>
  <si>
    <t>Closing cash balance in 2020/21 (excluding completion investment)</t>
  </si>
  <si>
    <t xml:space="preserve">Projected household revenue in 2020/21 </t>
  </si>
  <si>
    <t xml:space="preserve">Projected non-household revenue in 2020/21 </t>
  </si>
  <si>
    <t>Projected cash balance excluding completion investment in 2020/21</t>
  </si>
  <si>
    <t>Projected household growth in Band D equivalents</t>
  </si>
  <si>
    <t xml:space="preserve">Non-household growth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</si>
</sst>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%"/>
    <numFmt numFmtId="165" formatCode="0.0"/>
    <numFmt numFmtId="166" formatCode="0.000"/>
    <numFmt numFmtId="167" formatCode="&quot;£&quot;#,##0&quot;m&quot;"/>
    <numFmt numFmtId="168" formatCode="_-* #,##0_-;\-* #,##0_-;_-* &quot;-&quot;??_-;_-@_-"/>
    <numFmt numFmtId="169" formatCode="_-* #,##0.0000_-;\-* #,##0.0000_-;_-* &quot;-&quot;??_-;_-@_-"/>
    <numFmt numFmtId="170" formatCode="0.0000"/>
    <numFmt numFmtId="171" formatCode="&quot;£&quot;#,##0"/>
    <numFmt numFmtId="172" formatCode="&quot;£&quot;#,##0.00"/>
    <numFmt numFmtId="173" formatCode="&quot;£&quot;#,##0.00&quot;m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44">
    <xf numFmtId="0" fontId="0" fillId="0" borderId="0" xfId="0"/>
    <xf numFmtId="1" fontId="0" fillId="0" borderId="0" xfId="0" applyNumberFormat="1"/>
    <xf numFmtId="10" fontId="0" fillId="0" borderId="0" xfId="0" applyNumberFormat="1"/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2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left"/>
    </xf>
    <xf numFmtId="2" fontId="7" fillId="2" borderId="0" xfId="0" applyNumberFormat="1" applyFont="1" applyFill="1"/>
    <xf numFmtId="164" fontId="0" fillId="2" borderId="0" xfId="1" applyNumberFormat="1" applyFont="1" applyFill="1"/>
    <xf numFmtId="0" fontId="0" fillId="2" borderId="0" xfId="0" applyFill="1" applyAlignment="1">
      <alignment horizontal="left" indent="1"/>
    </xf>
    <xf numFmtId="1" fontId="6" fillId="2" borderId="0" xfId="0" applyNumberFormat="1" applyFont="1" applyFill="1"/>
    <xf numFmtId="165" fontId="0" fillId="2" borderId="0" xfId="0" applyNumberFormat="1" applyFill="1" applyAlignment="1">
      <alignment horizontal="center"/>
    </xf>
    <xf numFmtId="170" fontId="0" fillId="2" borderId="0" xfId="0" applyNumberFormat="1" applyFill="1"/>
    <xf numFmtId="0" fontId="0" fillId="2" borderId="0" xfId="0" applyFill="1" applyAlignment="1"/>
    <xf numFmtId="0" fontId="0" fillId="2" borderId="0" xfId="0" applyFill="1" applyAlignment="1">
      <alignment horizontal="left"/>
    </xf>
    <xf numFmtId="1" fontId="0" fillId="2" borderId="0" xfId="0" applyNumberForma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1" quotePrefix="1" applyNumberFormat="1" applyFont="1" applyFill="1"/>
    <xf numFmtId="10" fontId="0" fillId="2" borderId="0" xfId="0" applyNumberFormat="1" applyFill="1"/>
    <xf numFmtId="9" fontId="0" fillId="2" borderId="0" xfId="0" applyNumberFormat="1" applyFill="1"/>
    <xf numFmtId="1" fontId="0" fillId="2" borderId="0" xfId="1" quotePrefix="1" applyNumberFormat="1" applyFont="1" applyFill="1"/>
    <xf numFmtId="10" fontId="4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165" fontId="0" fillId="2" borderId="0" xfId="0" applyNumberFormat="1" applyFill="1"/>
    <xf numFmtId="0" fontId="20" fillId="2" borderId="0" xfId="0" applyFont="1" applyFill="1" applyAlignment="1">
      <alignment horizontal="center" vertical="center"/>
    </xf>
    <xf numFmtId="0" fontId="21" fillId="2" borderId="0" xfId="0" applyFont="1" applyFill="1"/>
    <xf numFmtId="0" fontId="8" fillId="2" borderId="0" xfId="0" applyFont="1" applyFill="1"/>
    <xf numFmtId="0" fontId="20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quotePrefix="1" applyFill="1" applyAlignment="1">
      <alignment horizontal="left"/>
    </xf>
    <xf numFmtId="1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1" applyNumberFormat="1" applyFont="1" applyFill="1"/>
    <xf numFmtId="10" fontId="0" fillId="2" borderId="0" xfId="1" applyNumberFormat="1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10" fontId="15" fillId="2" borderId="0" xfId="1" applyNumberFormat="1" applyFont="1" applyFill="1"/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/>
    <xf numFmtId="1" fontId="1" fillId="2" borderId="0" xfId="0" applyNumberFormat="1" applyFont="1" applyFill="1"/>
    <xf numFmtId="0" fontId="1" fillId="2" borderId="0" xfId="0" quotePrefix="1" applyFont="1" applyFill="1" applyAlignment="1">
      <alignment horizontal="left"/>
    </xf>
    <xf numFmtId="165" fontId="1" fillId="2" borderId="0" xfId="0" applyNumberFormat="1" applyFont="1" applyFill="1"/>
    <xf numFmtId="9" fontId="0" fillId="2" borderId="0" xfId="1" applyFont="1" applyFill="1"/>
    <xf numFmtId="164" fontId="0" fillId="2" borderId="0" xfId="0" applyNumberFormat="1" applyFill="1"/>
    <xf numFmtId="1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 applyAlignment="1">
      <alignment horizontal="center"/>
    </xf>
    <xf numFmtId="9" fontId="0" fillId="2" borderId="0" xfId="1" applyNumberFormat="1" applyFont="1" applyFill="1" applyAlignment="1">
      <alignment horizontal="right"/>
    </xf>
    <xf numFmtId="10" fontId="0" fillId="2" borderId="0" xfId="1" applyNumberFormat="1" applyFont="1" applyFill="1" applyAlignment="1">
      <alignment horizontal="right"/>
    </xf>
    <xf numFmtId="168" fontId="0" fillId="2" borderId="0" xfId="0" applyNumberFormat="1" applyFill="1"/>
    <xf numFmtId="169" fontId="0" fillId="2" borderId="0" xfId="0" applyNumberFormat="1" applyFill="1"/>
    <xf numFmtId="0" fontId="12" fillId="2" borderId="0" xfId="0" applyFont="1" applyFill="1"/>
    <xf numFmtId="0" fontId="0" fillId="2" borderId="0" xfId="0" quotePrefix="1" applyFill="1"/>
    <xf numFmtId="0" fontId="14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13" fillId="2" borderId="0" xfId="0" applyFont="1" applyFill="1"/>
    <xf numFmtId="1" fontId="13" fillId="2" borderId="0" xfId="0" quotePrefix="1" applyNumberFormat="1" applyFont="1" applyFill="1" applyAlignment="1">
      <alignment horizontal="center"/>
    </xf>
    <xf numFmtId="1" fontId="13" fillId="2" borderId="0" xfId="0" quotePrefix="1" applyNumberFormat="1" applyFont="1" applyFill="1"/>
    <xf numFmtId="1" fontId="13" fillId="2" borderId="0" xfId="0" applyNumberFormat="1" applyFont="1" applyFill="1"/>
    <xf numFmtId="166" fontId="13" fillId="2" borderId="0" xfId="0" applyNumberFormat="1" applyFont="1" applyFill="1"/>
    <xf numFmtId="9" fontId="13" fillId="2" borderId="0" xfId="1" applyFont="1" applyFill="1"/>
    <xf numFmtId="0" fontId="0" fillId="2" borderId="0" xfId="0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2" xfId="0" applyFill="1" applyBorder="1"/>
    <xf numFmtId="0" fontId="16" fillId="2" borderId="0" xfId="0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165" fontId="0" fillId="2" borderId="0" xfId="1" applyNumberFormat="1" applyFont="1" applyFill="1"/>
    <xf numFmtId="1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center"/>
    </xf>
    <xf numFmtId="1" fontId="13" fillId="2" borderId="0" xfId="0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2" borderId="0" xfId="0" applyNumberFormat="1" applyFont="1" applyFill="1"/>
    <xf numFmtId="9" fontId="15" fillId="2" borderId="0" xfId="0" applyNumberFormat="1" applyFont="1" applyFill="1" applyAlignment="1">
      <alignment horizontal="center"/>
    </xf>
    <xf numFmtId="165" fontId="15" fillId="2" borderId="0" xfId="0" applyNumberFormat="1" applyFont="1" applyFill="1" applyAlignment="1">
      <alignment horizontal="center"/>
    </xf>
    <xf numFmtId="10" fontId="13" fillId="2" borderId="0" xfId="0" applyNumberFormat="1" applyFont="1" applyFill="1" applyAlignment="1">
      <alignment horizontal="center"/>
    </xf>
    <xf numFmtId="9" fontId="0" fillId="2" borderId="0" xfId="1" quotePrefix="1" applyFont="1" applyFill="1"/>
    <xf numFmtId="9" fontId="1" fillId="2" borderId="0" xfId="1" applyFont="1" applyFill="1"/>
    <xf numFmtId="0" fontId="0" fillId="2" borderId="0" xfId="0" applyNumberFormat="1" applyFill="1"/>
    <xf numFmtId="49" fontId="0" fillId="2" borderId="0" xfId="0" applyNumberFormat="1" applyFill="1"/>
    <xf numFmtId="0" fontId="0" fillId="2" borderId="2" xfId="0" applyNumberFormat="1" applyFill="1" applyBorder="1"/>
    <xf numFmtId="9" fontId="0" fillId="2" borderId="0" xfId="1" applyNumberFormat="1" applyFont="1" applyFill="1" applyAlignment="1">
      <alignment horizontal="left"/>
    </xf>
    <xf numFmtId="10" fontId="0" fillId="2" borderId="0" xfId="1" applyNumberFormat="1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2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8" fillId="2" borderId="0" xfId="0" quotePrefix="1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8" fillId="2" borderId="0" xfId="0" quotePrefix="1" applyFont="1" applyFill="1" applyAlignment="1">
      <alignment horizontal="left"/>
    </xf>
    <xf numFmtId="0" fontId="15" fillId="2" borderId="0" xfId="0" applyFont="1" applyFill="1"/>
    <xf numFmtId="2" fontId="6" fillId="2" borderId="0" xfId="0" applyNumberFormat="1" applyFont="1" applyFill="1"/>
    <xf numFmtId="10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24" fillId="2" borderId="0" xfId="0" applyFont="1" applyFill="1"/>
    <xf numFmtId="0" fontId="24" fillId="2" borderId="0" xfId="0" quotePrefix="1" applyFont="1" applyFill="1"/>
    <xf numFmtId="164" fontId="6" fillId="2" borderId="0" xfId="1" applyNumberFormat="1" applyFont="1" applyFill="1"/>
    <xf numFmtId="164" fontId="11" fillId="2" borderId="0" xfId="1" applyNumberFormat="1" applyFont="1" applyFill="1"/>
    <xf numFmtId="1" fontId="11" fillId="2" borderId="0" xfId="0" applyNumberFormat="1" applyFont="1" applyFill="1"/>
    <xf numFmtId="0" fontId="18" fillId="2" borderId="0" xfId="0" applyFont="1" applyFill="1"/>
    <xf numFmtId="0" fontId="4" fillId="2" borderId="0" xfId="0" applyFont="1" applyFill="1" applyAlignment="1"/>
    <xf numFmtId="0" fontId="0" fillId="2" borderId="0" xfId="0" applyFont="1" applyFill="1" applyAlignment="1">
      <alignment horizontal="left"/>
    </xf>
    <xf numFmtId="0" fontId="10" fillId="2" borderId="0" xfId="0" applyFont="1" applyFill="1"/>
    <xf numFmtId="166" fontId="0" fillId="2" borderId="0" xfId="0" applyNumberForma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11" fillId="2" borderId="0" xfId="0" applyNumberFormat="1" applyFont="1" applyFill="1"/>
    <xf numFmtId="9" fontId="11" fillId="2" borderId="0" xfId="1" applyNumberFormat="1" applyFont="1" applyFill="1"/>
    <xf numFmtId="0" fontId="11" fillId="2" borderId="0" xfId="0" applyFont="1" applyFill="1" applyAlignment="1">
      <alignment vertical="center"/>
    </xf>
    <xf numFmtId="167" fontId="0" fillId="2" borderId="0" xfId="0" applyNumberFormat="1" applyFill="1" applyAlignment="1">
      <alignment horizontal="center"/>
    </xf>
    <xf numFmtId="167" fontId="0" fillId="2" borderId="0" xfId="0" applyNumberFormat="1" applyFill="1"/>
    <xf numFmtId="167" fontId="0" fillId="2" borderId="0" xfId="1" applyNumberFormat="1" applyFont="1" applyFill="1"/>
    <xf numFmtId="167" fontId="11" fillId="2" borderId="0" xfId="0" applyNumberFormat="1" applyFont="1" applyFill="1" applyAlignment="1">
      <alignment horizontal="center"/>
    </xf>
    <xf numFmtId="167" fontId="0" fillId="2" borderId="0" xfId="1" applyNumberFormat="1" applyFont="1" applyFill="1" applyAlignment="1">
      <alignment horizontal="center"/>
    </xf>
    <xf numFmtId="171" fontId="0" fillId="2" borderId="0" xfId="0" applyNumberFormat="1" applyFill="1" applyAlignment="1">
      <alignment horizontal="center"/>
    </xf>
    <xf numFmtId="172" fontId="0" fillId="2" borderId="0" xfId="0" applyNumberFormat="1" applyFill="1"/>
    <xf numFmtId="10" fontId="11" fillId="2" borderId="0" xfId="1" applyNumberFormat="1" applyFont="1" applyFill="1"/>
    <xf numFmtId="1" fontId="11" fillId="2" borderId="0" xfId="1" applyNumberFormat="1" applyFont="1" applyFill="1"/>
    <xf numFmtId="10" fontId="11" fillId="2" borderId="0" xfId="0" applyNumberFormat="1" applyFont="1" applyFill="1"/>
    <xf numFmtId="10" fontId="11" fillId="2" borderId="0" xfId="1" applyNumberFormat="1" applyFont="1" applyFill="1" applyAlignment="1">
      <alignment horizontal="center"/>
    </xf>
    <xf numFmtId="173" fontId="0" fillId="2" borderId="0" xfId="0" applyNumberFormat="1" applyFill="1"/>
    <xf numFmtId="0" fontId="0" fillId="2" borderId="0" xfId="0" applyFill="1" applyBorder="1"/>
    <xf numFmtId="167" fontId="0" fillId="2" borderId="0" xfId="0" applyNumberFormat="1" applyFill="1" applyBorder="1"/>
    <xf numFmtId="1" fontId="0" fillId="2" borderId="0" xfId="0" applyNumberFormat="1" applyFill="1" applyBorder="1"/>
    <xf numFmtId="0" fontId="0" fillId="2" borderId="0" xfId="0" applyFill="1" applyAlignment="1">
      <alignment vertical="top"/>
    </xf>
    <xf numFmtId="0" fontId="0" fillId="2" borderId="0" xfId="0" quotePrefix="1" applyFill="1" applyAlignment="1">
      <alignment vertical="top" wrapText="1"/>
    </xf>
    <xf numFmtId="49" fontId="0" fillId="2" borderId="0" xfId="0" applyNumberFormat="1" applyFill="1" applyAlignment="1">
      <alignment vertical="top"/>
    </xf>
    <xf numFmtId="10" fontId="15" fillId="2" borderId="0" xfId="0" applyNumberFormat="1" applyFont="1" applyFill="1" applyAlignment="1">
      <alignment horizontal="center"/>
    </xf>
    <xf numFmtId="1" fontId="15" fillId="2" borderId="0" xfId="0" applyNumberFormat="1" applyFont="1" applyFill="1" applyAlignment="1">
      <alignment horizontal="center"/>
    </xf>
    <xf numFmtId="10" fontId="6" fillId="2" borderId="0" xfId="1" applyNumberFormat="1" applyFont="1" applyFill="1"/>
    <xf numFmtId="1" fontId="15" fillId="2" borderId="0" xfId="0" applyNumberFormat="1" applyFont="1" applyFill="1"/>
  </cellXfs>
  <cellStyles count="3">
    <cellStyle name="Normal" xfId="0" builtinId="0"/>
    <cellStyle name="Normal 37" xfId="2" xr:uid="{6B1DE494-76D1-419C-BBAE-0682C2B34655}"/>
    <cellStyle name="Percent" xfId="1" builtinId="5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C000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tercommission.sharepoint.com/sites/analysis/Price%20Reviews/2021-27/Financial%20Model/V%20September%2019/no_at_risk_template_2108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tercommission.sharepoint.com/sites/analysis/Price%20Reviews/2021-27/Financial%20Model/N%20January%2019/@risk%20heatmap%20macro%20working%20version%20vS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RiskSwappedFuncs"/>
      <sheetName val="Control Sheet"/>
      <sheetName val="CAPEX numbers"/>
      <sheetName val="Sheet1"/>
      <sheetName val="Model"/>
      <sheetName val="Other inputs"/>
      <sheetName val="Output template"/>
      <sheetName val="Replacement Plug &amp; Play"/>
      <sheetName val="Print template 1pp"/>
      <sheetName val="Print template 2pp"/>
      <sheetName val="3.4% 120m"/>
      <sheetName val="3.4% 170m"/>
      <sheetName val="3.8% 120m"/>
      <sheetName val="3.8% 170m"/>
      <sheetName val="4% 120m"/>
      <sheetName val="4% 170m"/>
      <sheetName val="Transition year as output"/>
    </sheetNames>
    <sheetDataSet>
      <sheetData sheetId="0"/>
      <sheetData sheetId="1"/>
      <sheetData sheetId="2">
        <row r="3">
          <cell r="J3">
            <v>3.5000000000000003E-2</v>
          </cell>
        </row>
        <row r="6">
          <cell r="J6">
            <v>740.43228840326958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Control Sheet"/>
      <sheetName val="Model"/>
      <sheetName val="Capex numbers"/>
      <sheetName val="Other inputs"/>
      <sheetName val="Sheet1"/>
      <sheetName val="Sheet2"/>
      <sheetName val="Sheet3"/>
      <sheetName val="Transition year as output"/>
    </sheetNames>
    <sheetDataSet>
      <sheetData sheetId="0"/>
      <sheetData sheetId="1">
        <row r="4">
          <cell r="J4" t="e">
            <v>#NAME?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9C69-30D2-4476-928D-9EED03ABDB40}">
  <dimension ref="B2:C13"/>
  <sheetViews>
    <sheetView tabSelected="1" zoomScale="145" zoomScaleNormal="145" workbookViewId="0">
      <selection sqref="A1:XFD1048576"/>
    </sheetView>
  </sheetViews>
  <sheetFormatPr defaultRowHeight="14.5" x14ac:dyDescent="0.35"/>
  <cols>
    <col min="1" max="1" width="2.453125" style="3" customWidth="1"/>
    <col min="2" max="2" width="19.26953125" style="3" bestFit="1" customWidth="1"/>
    <col min="3" max="3" width="48.81640625" style="3" customWidth="1"/>
    <col min="4" max="16384" width="8.7265625" style="3"/>
  </cols>
  <sheetData>
    <row r="2" spans="2:3" x14ac:dyDescent="0.35">
      <c r="B2" s="3" t="s">
        <v>206</v>
      </c>
    </row>
    <row r="4" spans="2:3" ht="11" customHeight="1" x14ac:dyDescent="0.35">
      <c r="B4" s="4" t="s">
        <v>196</v>
      </c>
      <c r="C4" s="4" t="s">
        <v>197</v>
      </c>
    </row>
    <row r="6" spans="2:3" x14ac:dyDescent="0.35">
      <c r="B6" s="3" t="s">
        <v>193</v>
      </c>
      <c r="C6" s="100" t="s">
        <v>223</v>
      </c>
    </row>
    <row r="7" spans="2:3" x14ac:dyDescent="0.35">
      <c r="B7" s="3" t="s">
        <v>194</v>
      </c>
      <c r="C7" s="3" t="s">
        <v>203</v>
      </c>
    </row>
    <row r="8" spans="2:3" x14ac:dyDescent="0.35">
      <c r="B8" s="3" t="s">
        <v>165</v>
      </c>
      <c r="C8" s="3" t="s">
        <v>204</v>
      </c>
    </row>
    <row r="9" spans="2:3" x14ac:dyDescent="0.35">
      <c r="B9" s="3" t="s">
        <v>195</v>
      </c>
      <c r="C9" s="3" t="s">
        <v>205</v>
      </c>
    </row>
    <row r="11" spans="2:3" x14ac:dyDescent="0.35">
      <c r="B11" s="3" t="s">
        <v>198</v>
      </c>
    </row>
    <row r="12" spans="2:3" x14ac:dyDescent="0.35">
      <c r="B12" s="106" t="s">
        <v>186</v>
      </c>
    </row>
    <row r="13" spans="2:3" x14ac:dyDescent="0.35">
      <c r="B13" s="62"/>
    </row>
  </sheetData>
  <sheetProtection algorithmName="SHA-512" hashValue="U3W3YX2ppn3GXi7OjUsklsHK07G0P4LGH6fILm2rxBWvwhmWdWw24mq1sum5Gxc2oUuv27lGeGVCCYbfbt0bzg==" saltValue="KfN1OmNa08O2/qkvdYKXC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3E1D-27B7-44F0-A740-5D902FE3FC44}">
  <sheetPr codeName="Sheet3"/>
  <dimension ref="A1:AW164"/>
  <sheetViews>
    <sheetView zoomScale="160" zoomScaleNormal="160" workbookViewId="0">
      <selection sqref="A1:XFD1048576"/>
    </sheetView>
  </sheetViews>
  <sheetFormatPr defaultRowHeight="14.5" outlineLevelRow="1" x14ac:dyDescent="0.35"/>
  <cols>
    <col min="1" max="1" width="3.1796875" style="3" customWidth="1"/>
    <col min="2" max="2" width="74.453125" style="3" bestFit="1" customWidth="1"/>
    <col min="3" max="3" width="25.81640625" style="3" customWidth="1"/>
    <col min="4" max="4" width="11.81640625" style="3" customWidth="1"/>
    <col min="5" max="5" width="10.1796875" style="3" customWidth="1"/>
    <col min="6" max="6" width="40.7265625" style="3" customWidth="1"/>
    <col min="7" max="7" width="13.08984375" style="3" customWidth="1"/>
    <col min="8" max="8" width="11.08984375" customWidth="1"/>
    <col min="9" max="13" width="9.6328125" style="3" customWidth="1"/>
    <col min="14" max="14" width="19.36328125" style="3" bestFit="1" customWidth="1"/>
    <col min="15" max="15" width="13.81640625" style="3" bestFit="1" customWidth="1"/>
    <col min="16" max="16" width="31" style="3" customWidth="1"/>
    <col min="17" max="17" width="0" style="3" hidden="1" customWidth="1"/>
    <col min="18" max="19" width="8.7265625" style="3"/>
    <col min="20" max="20" width="8.7265625" style="3" customWidth="1"/>
    <col min="21" max="21" width="37.36328125" style="3" customWidth="1"/>
    <col min="22" max="22" width="10.81640625" style="3" bestFit="1" customWidth="1"/>
    <col min="23" max="40" width="8.7265625" style="3"/>
    <col min="41" max="41" width="13.81640625" style="3" bestFit="1" customWidth="1"/>
    <col min="42" max="42" width="10.453125" style="3" bestFit="1" customWidth="1"/>
    <col min="43" max="48" width="8.7265625" style="3"/>
    <col min="49" max="49" width="8.7265625" style="71"/>
    <col min="50" max="16384" width="8.7265625" style="3"/>
  </cols>
  <sheetData>
    <row r="1" spans="1:47" x14ac:dyDescent="0.35">
      <c r="H1" s="3"/>
    </row>
    <row r="2" spans="1:47" ht="18" customHeight="1" x14ac:dyDescent="0.35">
      <c r="B2" s="107" t="s">
        <v>3</v>
      </c>
      <c r="C2" s="20" t="s">
        <v>162</v>
      </c>
      <c r="D2" s="20" t="s">
        <v>4</v>
      </c>
      <c r="E2" s="20" t="s">
        <v>5</v>
      </c>
      <c r="F2" s="20" t="s">
        <v>6</v>
      </c>
      <c r="H2" s="20" t="s">
        <v>185</v>
      </c>
      <c r="L2" s="106" t="s">
        <v>186</v>
      </c>
      <c r="P2" s="18"/>
      <c r="Q2" s="72" t="s">
        <v>7</v>
      </c>
      <c r="S2" s="4"/>
      <c r="T2" s="22"/>
      <c r="AU2" s="4"/>
    </row>
    <row r="3" spans="1:47" ht="18" customHeight="1" x14ac:dyDescent="0.55000000000000004">
      <c r="A3" s="55"/>
      <c r="B3" s="33" t="s">
        <v>167</v>
      </c>
      <c r="C3" s="33" t="s">
        <v>89</v>
      </c>
      <c r="D3" s="73"/>
      <c r="E3" s="73"/>
      <c r="F3" s="35">
        <v>1250</v>
      </c>
      <c r="H3" s="3"/>
      <c r="L3" s="62"/>
      <c r="Q3" s="74">
        <f>IF(AND(ISNUMBER('Control Sheet'!$F3),'Control Sheet'!$F3&lt;&gt;0),'Control Sheet'!$F3,_xll.RiskIntUniform('Control Sheet'!D3,'Control Sheet'!E3))</f>
        <v>1250</v>
      </c>
    </row>
    <row r="4" spans="1:47" ht="18" customHeight="1" x14ac:dyDescent="0.55000000000000004">
      <c r="A4" s="55"/>
      <c r="B4" s="17" t="s">
        <v>10</v>
      </c>
      <c r="C4" s="17"/>
      <c r="D4" s="73"/>
      <c r="E4" s="73"/>
      <c r="F4" s="104">
        <v>19</v>
      </c>
      <c r="H4" s="3"/>
      <c r="O4" s="22"/>
      <c r="P4" s="18"/>
      <c r="Q4" s="74">
        <f>IF(AND(ISNUMBER('Control Sheet'!$F4),'Control Sheet'!$F4&lt;&gt;0),'Control Sheet'!$F4,_xll.RiskIntUniform('Control Sheet'!D4,'Control Sheet'!E4))</f>
        <v>19</v>
      </c>
      <c r="R4" s="18"/>
    </row>
    <row r="5" spans="1:47" ht="18" customHeight="1" x14ac:dyDescent="0.55000000000000004">
      <c r="A5" s="55"/>
      <c r="B5" s="17" t="s">
        <v>116</v>
      </c>
      <c r="C5" s="17" t="s">
        <v>115</v>
      </c>
      <c r="D5" s="7"/>
      <c r="E5" s="7"/>
      <c r="F5" s="104">
        <v>50</v>
      </c>
      <c r="H5" s="3"/>
      <c r="O5" s="22"/>
      <c r="P5" s="18"/>
      <c r="Q5" s="36">
        <f>IF(ISNUMBER('Control Sheet'!$F5),'Control Sheet'!$F5, _xll.RiskNormalAlt(5%,'Control Sheet'!$D5,95%,'Control Sheet'!$E5))</f>
        <v>50</v>
      </c>
      <c r="R5" s="18"/>
    </row>
    <row r="6" spans="1:47" ht="18" customHeight="1" x14ac:dyDescent="0.55000000000000004">
      <c r="A6" s="55"/>
      <c r="B6" s="17" t="s">
        <v>247</v>
      </c>
      <c r="C6" s="17" t="s">
        <v>115</v>
      </c>
      <c r="D6" s="73">
        <v>915.21232859304905</v>
      </c>
      <c r="E6" s="73">
        <v>925.2123285930486</v>
      </c>
      <c r="F6" s="73"/>
      <c r="H6" s="106" t="s">
        <v>180</v>
      </c>
      <c r="L6" s="18"/>
      <c r="O6" s="22"/>
      <c r="P6" s="18"/>
      <c r="Q6" s="36" t="e">
        <f ca="1">IF(ISNUMBER('Control Sheet'!$F6),'Control Sheet'!$F6, _xll.RiskNormalAlt(5%,'Control Sheet'!$D6,95%,'Control Sheet'!$E6))</f>
        <v>#NAME?</v>
      </c>
      <c r="R6" s="18"/>
    </row>
    <row r="7" spans="1:47" ht="18" customHeight="1" x14ac:dyDescent="0.55000000000000004">
      <c r="A7" s="55"/>
      <c r="B7" s="17" t="s">
        <v>226</v>
      </c>
      <c r="C7" s="17" t="s">
        <v>115</v>
      </c>
      <c r="D7" s="7"/>
      <c r="E7" s="7"/>
      <c r="F7" s="105">
        <v>-14</v>
      </c>
      <c r="H7" s="106"/>
      <c r="K7" s="76"/>
      <c r="L7" s="18"/>
      <c r="O7" s="22"/>
      <c r="P7" s="18"/>
      <c r="R7" s="18"/>
    </row>
    <row r="8" spans="1:47" ht="18" customHeight="1" x14ac:dyDescent="0.55000000000000004">
      <c r="A8" s="55"/>
      <c r="B8" s="17" t="s">
        <v>248</v>
      </c>
      <c r="C8" s="17" t="s">
        <v>115</v>
      </c>
      <c r="D8" s="141">
        <v>330</v>
      </c>
      <c r="E8" s="141">
        <v>350</v>
      </c>
      <c r="F8" s="73"/>
      <c r="H8" s="106" t="s">
        <v>238</v>
      </c>
      <c r="K8" s="18"/>
      <c r="L8" s="18"/>
      <c r="O8" s="18"/>
      <c r="P8" s="18"/>
      <c r="Q8" s="36" t="e">
        <f ca="1">IF(ISNUMBER('Control Sheet'!$F8),'Control Sheet'!$F8, _xll.RiskNormalAlt(5%,'Control Sheet'!$D8,95%,'Control Sheet'!$E8))</f>
        <v>#NAME?</v>
      </c>
      <c r="R8" s="18"/>
    </row>
    <row r="9" spans="1:47" ht="18" customHeight="1" x14ac:dyDescent="0.55000000000000004">
      <c r="A9" s="55"/>
      <c r="B9" s="17" t="s">
        <v>251</v>
      </c>
      <c r="C9" s="17" t="s">
        <v>115</v>
      </c>
      <c r="D9" s="78"/>
      <c r="E9" s="78"/>
      <c r="F9" s="104">
        <v>173</v>
      </c>
      <c r="H9" s="106" t="s">
        <v>183</v>
      </c>
      <c r="O9" s="18"/>
      <c r="P9" s="18"/>
      <c r="Q9" s="36">
        <f>IF(ISNUMBER('Control Sheet'!$F9),'Control Sheet'!$F9, _xll.RiskNormalAlt(5%,'Control Sheet'!$D9,95%,'Control Sheet'!$E9))</f>
        <v>173</v>
      </c>
      <c r="R9" s="18"/>
    </row>
    <row r="10" spans="1:47" ht="18" customHeight="1" x14ac:dyDescent="0.55000000000000004">
      <c r="A10" s="55"/>
      <c r="B10" s="17" t="s">
        <v>249</v>
      </c>
      <c r="C10" s="17"/>
      <c r="D10" s="102">
        <v>7.0000000000000001E-3</v>
      </c>
      <c r="E10" s="102">
        <v>1.0999999999999999E-2</v>
      </c>
      <c r="F10" s="79"/>
      <c r="H10" s="3"/>
      <c r="K10" s="75"/>
      <c r="O10" s="18"/>
      <c r="Q10" s="37" t="e">
        <f ca="1">IF(ISNUMBER('Control Sheet'!$F10),'Control Sheet'!$F10, _xll.RiskNormalAlt(5%,'Control Sheet'!$D10,95%,'Control Sheet'!$E10))</f>
        <v>#NAME?</v>
      </c>
    </row>
    <row r="11" spans="1:47" x14ac:dyDescent="0.35">
      <c r="B11" s="17" t="s">
        <v>250</v>
      </c>
      <c r="C11" s="17"/>
      <c r="D11" s="103">
        <v>5.0000000000000001E-3</v>
      </c>
      <c r="E11" s="103">
        <v>0.01</v>
      </c>
      <c r="F11" s="79"/>
      <c r="H11" s="3"/>
      <c r="K11" s="18"/>
      <c r="Q11" s="37" t="e">
        <f ca="1">IF(ISNUMBER('Control Sheet'!$F11),'Control Sheet'!$F11, _xll.RiskNormalAlt(5%,'Control Sheet'!$D11,95%,'Control Sheet'!$E11))</f>
        <v>#NAME?</v>
      </c>
    </row>
    <row r="12" spans="1:47" x14ac:dyDescent="0.35">
      <c r="B12" s="38" t="s">
        <v>236</v>
      </c>
      <c r="C12" s="17"/>
      <c r="D12" s="103"/>
      <c r="E12" s="103"/>
      <c r="F12" s="140">
        <v>0.02</v>
      </c>
      <c r="H12" s="3"/>
      <c r="K12" s="18"/>
      <c r="Q12" s="37"/>
    </row>
    <row r="13" spans="1:47" x14ac:dyDescent="0.35">
      <c r="B13" s="17" t="s">
        <v>237</v>
      </c>
      <c r="C13" s="17"/>
      <c r="D13" s="103"/>
      <c r="E13" s="103"/>
      <c r="F13" s="102">
        <v>0.02</v>
      </c>
      <c r="H13" s="3"/>
      <c r="K13" s="18"/>
      <c r="Q13" s="11">
        <f>IF(ISNUMBER('Control Sheet'!$F13),'Control Sheet'!$F13, _xll.RiskNormalAlt(5%,'Control Sheet'!$D13,95%,'Control Sheet'!$E13))</f>
        <v>0.02</v>
      </c>
    </row>
    <row r="14" spans="1:47" x14ac:dyDescent="0.35">
      <c r="B14" s="17" t="s">
        <v>224</v>
      </c>
      <c r="C14" s="17"/>
      <c r="D14" s="7">
        <v>120</v>
      </c>
      <c r="E14" s="7">
        <v>120</v>
      </c>
      <c r="F14" s="104"/>
      <c r="H14" s="3"/>
      <c r="K14" s="75"/>
      <c r="Q14" s="36" t="e">
        <f ca="1">IF(ISNUMBER('Control Sheet'!$F14),'Control Sheet'!$F14, _xll.RiskNormalAlt(5%,'Control Sheet'!$D14,95%,'Control Sheet'!$E14))</f>
        <v>#NAME?</v>
      </c>
    </row>
    <row r="15" spans="1:47" x14ac:dyDescent="0.35">
      <c r="B15" s="17" t="s">
        <v>168</v>
      </c>
      <c r="C15" s="17"/>
      <c r="D15" s="80"/>
      <c r="E15" s="80"/>
      <c r="F15" s="102">
        <v>0.01</v>
      </c>
      <c r="H15" s="3"/>
      <c r="K15" s="18"/>
      <c r="Q15" s="11">
        <f>IF(ISNUMBER('Control Sheet'!$F15),'Control Sheet'!$F15, _xll.RiskNormalAlt(5%,'Control Sheet'!$D15,95%,'Control Sheet'!$E15))</f>
        <v>0.01</v>
      </c>
    </row>
    <row r="16" spans="1:47" x14ac:dyDescent="0.35">
      <c r="B16" s="17" t="s">
        <v>227</v>
      </c>
      <c r="C16" s="17"/>
      <c r="D16" s="79"/>
      <c r="E16" s="79"/>
      <c r="F16" s="102">
        <v>7.4999999999999997E-3</v>
      </c>
      <c r="H16" s="3"/>
      <c r="K16" s="18"/>
      <c r="L16" s="11"/>
      <c r="Q16" s="37">
        <f>IF(ISNUMBER('Control Sheet'!$F16),'Control Sheet'!$F16, _xll.RiskNormalAlt(5%,'Control Sheet'!$D16,95%,'Control Sheet'!$E16))</f>
        <v>7.4999999999999997E-3</v>
      </c>
    </row>
    <row r="17" spans="2:38" x14ac:dyDescent="0.35">
      <c r="B17" s="17" t="s">
        <v>169</v>
      </c>
      <c r="C17" s="17"/>
      <c r="D17" s="73"/>
      <c r="E17" s="73"/>
      <c r="F17" s="105">
        <v>30</v>
      </c>
      <c r="H17" s="3"/>
      <c r="K17" s="18"/>
      <c r="Q17" s="36">
        <f>IF(ISNUMBER('Control Sheet'!$F17),'Control Sheet'!$F17, _xll.RiskNormalAlt(5%,'Control Sheet'!$D17,95%,'Control Sheet'!$E17))</f>
        <v>30</v>
      </c>
    </row>
    <row r="18" spans="2:38" x14ac:dyDescent="0.35">
      <c r="B18" s="17" t="s">
        <v>119</v>
      </c>
      <c r="C18" s="33" t="s">
        <v>89</v>
      </c>
      <c r="D18" s="104">
        <v>-30</v>
      </c>
      <c r="E18" s="104">
        <v>30</v>
      </c>
      <c r="F18" s="7"/>
      <c r="H18" s="3"/>
      <c r="Q18" s="36" t="e">
        <f ca="1">IF(ISNUMBER('Control Sheet'!$F18),'Control Sheet'!$F18, _xll.RiskNormalAlt(5%,'Control Sheet'!$D18,95%,'Control Sheet'!$E18))</f>
        <v>#NAME?</v>
      </c>
    </row>
    <row r="19" spans="2:38" x14ac:dyDescent="0.35">
      <c r="B19" s="17"/>
      <c r="C19" s="17"/>
      <c r="D19" s="7"/>
      <c r="E19" s="7"/>
      <c r="F19" s="79"/>
      <c r="H19" s="3"/>
      <c r="J19" s="4"/>
      <c r="L19" s="36"/>
      <c r="M19" s="4"/>
      <c r="Q19" s="4"/>
    </row>
    <row r="20" spans="2:38" hidden="1" outlineLevel="1" x14ac:dyDescent="0.35">
      <c r="B20" s="38" t="s">
        <v>216</v>
      </c>
      <c r="C20" s="38" t="s">
        <v>113</v>
      </c>
      <c r="D20" s="39"/>
      <c r="E20" s="82"/>
      <c r="F20" s="91">
        <v>0</v>
      </c>
      <c r="H20" s="3"/>
      <c r="J20" s="42"/>
      <c r="K20" s="42"/>
      <c r="L20" s="36"/>
      <c r="M20" s="42"/>
      <c r="N20" s="42"/>
    </row>
    <row r="21" spans="2:38" hidden="1" outlineLevel="1" x14ac:dyDescent="0.35">
      <c r="B21" s="38" t="s">
        <v>214</v>
      </c>
      <c r="C21" s="38"/>
      <c r="D21" s="39"/>
      <c r="E21" s="39"/>
      <c r="F21" s="83">
        <v>0</v>
      </c>
      <c r="H21" s="3"/>
      <c r="J21" s="42"/>
      <c r="K21" s="81"/>
      <c r="L21" s="36"/>
      <c r="M21" s="42"/>
      <c r="N21" s="81"/>
    </row>
    <row r="22" spans="2:38" hidden="1" outlineLevel="1" x14ac:dyDescent="0.35">
      <c r="C22" s="17"/>
      <c r="D22" s="7"/>
      <c r="E22" s="7"/>
      <c r="F22" s="7"/>
      <c r="H22" s="3"/>
      <c r="K22" s="27"/>
      <c r="N22" s="27"/>
    </row>
    <row r="23" spans="2:38" collapsed="1" x14ac:dyDescent="0.35">
      <c r="C23" s="98"/>
      <c r="D23" s="7"/>
      <c r="E23" s="7"/>
      <c r="F23" s="7"/>
      <c r="H23" s="3"/>
      <c r="K23" s="18"/>
      <c r="N23" s="27"/>
    </row>
    <row r="24" spans="2:38" x14ac:dyDescent="0.35">
      <c r="B24" s="38" t="s">
        <v>201</v>
      </c>
      <c r="C24" s="38" t="s">
        <v>175</v>
      </c>
      <c r="D24" s="84"/>
      <c r="E24" s="84"/>
      <c r="F24" s="132">
        <v>1.4999999999999999E-2</v>
      </c>
      <c r="H24" s="106" t="s">
        <v>202</v>
      </c>
      <c r="K24" s="22"/>
      <c r="L24" s="11"/>
      <c r="AL24" s="11"/>
    </row>
    <row r="25" spans="2:38" x14ac:dyDescent="0.35">
      <c r="B25" s="3" t="s">
        <v>14</v>
      </c>
      <c r="C25" s="17"/>
      <c r="F25" s="22"/>
      <c r="H25" s="3"/>
      <c r="L25" s="11"/>
    </row>
    <row r="26" spans="2:38" x14ac:dyDescent="0.35">
      <c r="C26" s="17"/>
      <c r="D26" s="4"/>
      <c r="E26" s="4"/>
      <c r="F26" s="4"/>
      <c r="H26" s="3"/>
      <c r="K26" s="37"/>
      <c r="M26" s="73"/>
      <c r="N26" s="73"/>
    </row>
    <row r="27" spans="2:38" ht="15.5" hidden="1" outlineLevel="1" x14ac:dyDescent="0.35">
      <c r="B27" s="108" t="s">
        <v>170</v>
      </c>
      <c r="C27" s="99"/>
      <c r="F27" s="18"/>
      <c r="G27" s="18"/>
      <c r="H27" s="3"/>
      <c r="I27" s="4"/>
      <c r="AJ27" s="4"/>
    </row>
    <row r="28" spans="2:38" hidden="1" outlineLevel="1" x14ac:dyDescent="0.35">
      <c r="B28" s="3" t="s">
        <v>9</v>
      </c>
      <c r="C28" s="38" t="s">
        <v>175</v>
      </c>
      <c r="F28" s="79" t="e">
        <f ca="1">_xll.RiskOutput("Transition price change")+Model!F83-F13</f>
        <v>#NAME?</v>
      </c>
      <c r="G28" s="18"/>
      <c r="H28" s="3"/>
      <c r="I28" s="22"/>
      <c r="J28" s="46"/>
      <c r="K28" s="85"/>
      <c r="M28" s="46"/>
      <c r="N28" s="46"/>
      <c r="O28" s="46"/>
      <c r="P28" s="86"/>
      <c r="V28" s="4"/>
    </row>
    <row r="29" spans="2:38" hidden="1" outlineLevel="1" x14ac:dyDescent="0.35">
      <c r="B29" s="3" t="s">
        <v>173</v>
      </c>
      <c r="C29" s="33" t="s">
        <v>89</v>
      </c>
      <c r="F29" s="73" t="e">
        <f ca="1">_xll.RiskOutput("Replacement and enhancement in 2017/18 prices")+-INDEX(Model!G112:BN112,1,MATCH(Model!F6,Model!G2:BN2,0))/INDEX(Model!G35:BN35,1,MATCH(Model!F6,Model!G2:BN2,0))</f>
        <v>#NAME?</v>
      </c>
      <c r="H29" s="3"/>
      <c r="J29" s="87"/>
      <c r="K29" s="36"/>
      <c r="M29" s="46"/>
      <c r="N29" s="37"/>
      <c r="O29" s="37"/>
    </row>
    <row r="30" spans="2:38" hidden="1" outlineLevel="1" x14ac:dyDescent="0.35">
      <c r="F30" s="73"/>
      <c r="H30" s="73"/>
      <c r="I30" s="73"/>
      <c r="J30" s="73"/>
      <c r="K30" s="73"/>
      <c r="L30" s="73"/>
      <c r="M30" s="73"/>
      <c r="N30" s="37"/>
      <c r="O30" s="37"/>
      <c r="AE30" s="88"/>
      <c r="AG30" s="88"/>
    </row>
    <row r="31" spans="2:38" hidden="1" outlineLevel="1" x14ac:dyDescent="0.35">
      <c r="B31" s="3" t="s">
        <v>11</v>
      </c>
      <c r="F31" s="73" t="e">
        <f ca="1">_xll.RiskOutput()+Model!F144</f>
        <v>#NAME?</v>
      </c>
      <c r="H31" s="3"/>
      <c r="J31" s="23"/>
      <c r="K31" s="36"/>
      <c r="M31" s="46"/>
      <c r="N31" s="37"/>
      <c r="O31" s="37"/>
      <c r="W31" s="22"/>
      <c r="X31" s="22"/>
      <c r="Y31" s="22"/>
      <c r="Z31" s="22"/>
      <c r="AA31" s="23"/>
      <c r="AB31" s="23"/>
      <c r="AC31" s="23"/>
      <c r="AD31" s="23"/>
    </row>
    <row r="32" spans="2:38" collapsed="1" x14ac:dyDescent="0.35">
      <c r="H32" s="18"/>
      <c r="I32" s="18"/>
      <c r="J32" s="18"/>
      <c r="K32" s="36"/>
      <c r="L32" s="18"/>
      <c r="M32" s="73"/>
      <c r="N32" s="73"/>
    </row>
    <row r="33" spans="2:44" x14ac:dyDescent="0.35">
      <c r="H33" s="18"/>
      <c r="I33" s="18"/>
      <c r="J33" s="18"/>
      <c r="K33" s="36"/>
      <c r="L33" s="18"/>
      <c r="M33" s="73"/>
      <c r="N33" s="73"/>
    </row>
    <row r="34" spans="2:44" ht="15.5" x14ac:dyDescent="0.35">
      <c r="B34" s="108" t="s">
        <v>8</v>
      </c>
      <c r="C34" s="96"/>
      <c r="H34" s="97" t="s">
        <v>16</v>
      </c>
      <c r="I34" s="97" t="s">
        <v>17</v>
      </c>
      <c r="J34" s="97" t="s">
        <v>18</v>
      </c>
      <c r="K34" s="97" t="s">
        <v>19</v>
      </c>
      <c r="L34" s="97" t="s">
        <v>20</v>
      </c>
      <c r="M34" s="97" t="s">
        <v>21</v>
      </c>
      <c r="N34" s="97" t="s">
        <v>174</v>
      </c>
      <c r="O34" s="97" t="s">
        <v>176</v>
      </c>
      <c r="P34" s="97"/>
      <c r="W34" s="22"/>
      <c r="AE34" s="22"/>
      <c r="AF34" s="22"/>
      <c r="AG34" s="22"/>
      <c r="AH34" s="22"/>
    </row>
    <row r="35" spans="2:44" x14ac:dyDescent="0.35">
      <c r="B35" s="3" t="str">
        <f>Model!B150</f>
        <v>Allowed for revenue</v>
      </c>
      <c r="C35" s="3" t="s">
        <v>155</v>
      </c>
      <c r="F35" s="3" t="str">
        <f>B35</f>
        <v>Allowed for revenue</v>
      </c>
      <c r="H35" s="122" t="e">
        <f ca="1">Model!G150</f>
        <v>#NAME?</v>
      </c>
      <c r="I35" s="122" t="e">
        <f ca="1">Model!H150</f>
        <v>#NAME?</v>
      </c>
      <c r="J35" s="122" t="e">
        <f ca="1">Model!I150</f>
        <v>#NAME?</v>
      </c>
      <c r="K35" s="122" t="e">
        <f ca="1">Model!J150</f>
        <v>#NAME?</v>
      </c>
      <c r="L35" s="122" t="e">
        <f ca="1">Model!K150</f>
        <v>#NAME?</v>
      </c>
      <c r="M35" s="122" t="e">
        <f ca="1">Model!L150</f>
        <v>#NAME?</v>
      </c>
      <c r="N35" s="122" t="e">
        <f ca="1">SUM(H35:M35)</f>
        <v>#NAME?</v>
      </c>
      <c r="O35" s="37"/>
      <c r="S35" s="123"/>
    </row>
    <row r="36" spans="2:44" x14ac:dyDescent="0.35">
      <c r="B36" s="3" t="str">
        <f>Model!B159</f>
        <v>Total investment over 2021-27</v>
      </c>
      <c r="C36" s="3" t="str">
        <f>Model!C159</f>
        <v>£m; 2017/18 prices</v>
      </c>
      <c r="F36" s="3" t="str">
        <f t="shared" ref="F36:F37" si="0">B36</f>
        <v>Total investment over 2021-27</v>
      </c>
      <c r="H36" s="122" t="e">
        <f ca="1">Model!G155</f>
        <v>#NAME?</v>
      </c>
      <c r="I36" s="122" t="e">
        <f ca="1">Model!H155</f>
        <v>#NAME?</v>
      </c>
      <c r="J36" s="122" t="e">
        <f ca="1">Model!I155</f>
        <v>#NAME?</v>
      </c>
      <c r="K36" s="122" t="e">
        <f ca="1">Model!J155</f>
        <v>#NAME?</v>
      </c>
      <c r="L36" s="122" t="e">
        <f ca="1">Model!K155</f>
        <v>#NAME?</v>
      </c>
      <c r="M36" s="122" t="e">
        <f ca="1">Model!L155</f>
        <v>#NAME?</v>
      </c>
      <c r="N36" s="122" t="e">
        <f ca="1">SUM(H36:M36)</f>
        <v>#NAME?</v>
      </c>
      <c r="O36" s="37"/>
      <c r="S36" s="123"/>
    </row>
    <row r="37" spans="2:44" x14ac:dyDescent="0.35">
      <c r="B37" s="3" t="str">
        <f>Model!B160</f>
        <v>Total investment over 2021-27: annual average</v>
      </c>
      <c r="C37" s="3" t="str">
        <f>Model!C160</f>
        <v>£m; 2017/18 prices</v>
      </c>
      <c r="F37" s="3" t="str">
        <f t="shared" si="0"/>
        <v>Total investment over 2021-27: annual average</v>
      </c>
      <c r="H37" s="123"/>
      <c r="I37" s="123"/>
      <c r="J37" s="123"/>
      <c r="K37" s="124"/>
      <c r="L37" s="123"/>
      <c r="M37" s="124"/>
      <c r="N37" s="124"/>
      <c r="O37" s="126" t="e">
        <f ca="1">AVERAGE(H36:M36)</f>
        <v>#NAME?</v>
      </c>
      <c r="S37" s="123"/>
    </row>
    <row r="38" spans="2:44" x14ac:dyDescent="0.35">
      <c r="H38" s="133"/>
      <c r="I38" s="133"/>
      <c r="J38" s="133"/>
      <c r="K38" s="133"/>
      <c r="L38" s="133"/>
      <c r="M38" s="133"/>
      <c r="N38" s="126"/>
      <c r="O38" s="126"/>
      <c r="S38" s="123"/>
    </row>
    <row r="39" spans="2:44" x14ac:dyDescent="0.35">
      <c r="B39" s="112" t="s">
        <v>207</v>
      </c>
      <c r="H39" s="123"/>
      <c r="I39" s="123"/>
      <c r="J39" s="123"/>
      <c r="K39" s="123"/>
      <c r="L39" s="123"/>
      <c r="M39" s="123"/>
      <c r="N39" s="124"/>
      <c r="P39" s="128"/>
      <c r="S39" s="123"/>
    </row>
    <row r="40" spans="2:44" x14ac:dyDescent="0.35">
      <c r="B40" s="3" t="s">
        <v>208</v>
      </c>
      <c r="C40" s="3" t="s">
        <v>89</v>
      </c>
      <c r="H40" s="123"/>
      <c r="I40" s="124"/>
      <c r="J40" s="124"/>
      <c r="K40" s="124"/>
      <c r="L40" s="123"/>
      <c r="M40" s="124"/>
      <c r="N40" s="125">
        <v>1800</v>
      </c>
      <c r="O40" s="34"/>
      <c r="P40" s="128"/>
    </row>
    <row r="41" spans="2:44" x14ac:dyDescent="0.35">
      <c r="B41" s="3" t="s">
        <v>209</v>
      </c>
      <c r="C41" s="3" t="s">
        <v>89</v>
      </c>
      <c r="H41" s="123"/>
      <c r="I41" s="123"/>
      <c r="J41" s="124"/>
      <c r="K41" s="124"/>
      <c r="L41" s="123"/>
      <c r="M41" s="124"/>
      <c r="N41" s="125">
        <v>1589.962900924103</v>
      </c>
      <c r="O41" s="34"/>
      <c r="S41" s="123"/>
      <c r="U41" s="134"/>
      <c r="V41" s="135"/>
    </row>
    <row r="42" spans="2:44" x14ac:dyDescent="0.35">
      <c r="B42" s="3" t="s">
        <v>210</v>
      </c>
      <c r="C42" s="3" t="s">
        <v>89</v>
      </c>
      <c r="H42" s="123"/>
      <c r="I42" s="124"/>
      <c r="J42" s="124"/>
      <c r="K42" s="124"/>
      <c r="L42" s="123"/>
      <c r="M42" s="124"/>
      <c r="N42" s="125">
        <v>984.88908558117009</v>
      </c>
      <c r="O42" s="34"/>
      <c r="S42" s="123"/>
      <c r="U42" s="134"/>
      <c r="V42" s="135"/>
    </row>
    <row r="43" spans="2:44" x14ac:dyDescent="0.35">
      <c r="B43" s="3" t="s">
        <v>211</v>
      </c>
      <c r="C43" s="3" t="s">
        <v>89</v>
      </c>
      <c r="H43" s="123"/>
      <c r="I43" s="123"/>
      <c r="J43" s="124"/>
      <c r="K43" s="124"/>
      <c r="L43" s="123"/>
      <c r="M43" s="124"/>
      <c r="N43" s="125">
        <v>132</v>
      </c>
      <c r="O43" s="34"/>
      <c r="S43" s="123"/>
      <c r="U43" s="134"/>
      <c r="V43" s="135"/>
    </row>
    <row r="44" spans="2:44" x14ac:dyDescent="0.35">
      <c r="H44" s="3"/>
      <c r="I44" s="11"/>
      <c r="J44" s="46"/>
      <c r="K44" s="46"/>
      <c r="M44" s="46"/>
      <c r="O44" s="46"/>
      <c r="S44" s="123"/>
      <c r="U44" s="134"/>
      <c r="V44" s="135"/>
    </row>
    <row r="45" spans="2:44" x14ac:dyDescent="0.35">
      <c r="H45" s="3"/>
      <c r="I45" s="47"/>
      <c r="J45" s="46"/>
      <c r="K45" s="46"/>
      <c r="M45" s="46"/>
      <c r="N45" s="37"/>
      <c r="O45" s="46"/>
      <c r="R45" s="87"/>
      <c r="S45" s="124"/>
      <c r="U45" s="134"/>
      <c r="V45" s="135"/>
      <c r="AF45" s="87"/>
      <c r="AG45" s="37"/>
      <c r="AH45" s="87"/>
      <c r="AR45" s="11"/>
    </row>
    <row r="46" spans="2:44" x14ac:dyDescent="0.35">
      <c r="H46" s="3"/>
      <c r="J46" s="87"/>
      <c r="K46" s="36"/>
      <c r="M46" s="46"/>
      <c r="N46" s="18"/>
      <c r="O46" s="46"/>
      <c r="U46" s="134"/>
      <c r="V46" s="135"/>
    </row>
    <row r="47" spans="2:44" x14ac:dyDescent="0.35">
      <c r="F47" s="4"/>
      <c r="G47" s="4"/>
      <c r="H47" s="4"/>
      <c r="I47" s="4"/>
      <c r="J47" s="4"/>
      <c r="K47" s="4"/>
      <c r="L47" s="4"/>
      <c r="M47" s="4"/>
      <c r="N47" s="34"/>
      <c r="O47" s="46"/>
      <c r="U47" s="134"/>
      <c r="V47" s="135"/>
    </row>
    <row r="48" spans="2:44" x14ac:dyDescent="0.35">
      <c r="F48" s="4"/>
      <c r="G48" s="4"/>
      <c r="H48" s="4"/>
      <c r="I48" s="4"/>
      <c r="J48" s="4"/>
      <c r="K48" s="4"/>
      <c r="L48" s="4"/>
      <c r="M48" s="4"/>
      <c r="N48" s="73"/>
      <c r="U48" s="134"/>
      <c r="V48" s="135"/>
    </row>
    <row r="49" spans="6:49" x14ac:dyDescent="0.35">
      <c r="F49" s="4"/>
      <c r="G49" s="4"/>
      <c r="H49" s="4"/>
      <c r="I49" s="4"/>
      <c r="J49" s="4"/>
      <c r="K49" s="4"/>
      <c r="L49" s="4"/>
      <c r="M49" s="4"/>
      <c r="N49" s="34"/>
      <c r="U49" s="134"/>
      <c r="V49" s="135"/>
    </row>
    <row r="50" spans="6:49" x14ac:dyDescent="0.35">
      <c r="F50" s="4"/>
      <c r="G50" s="4"/>
      <c r="H50" s="4"/>
      <c r="I50" s="4"/>
      <c r="J50" s="4"/>
      <c r="K50" s="4"/>
      <c r="L50" s="4"/>
      <c r="M50" s="4"/>
      <c r="N50" s="34"/>
      <c r="U50" s="134"/>
      <c r="V50" s="135"/>
    </row>
    <row r="51" spans="6:49" x14ac:dyDescent="0.35">
      <c r="H51" s="3"/>
      <c r="N51" s="73"/>
      <c r="U51" s="134"/>
      <c r="V51" s="135"/>
      <c r="AU51" s="87"/>
      <c r="AV51" s="37"/>
      <c r="AW51" s="89"/>
    </row>
    <row r="52" spans="6:49" x14ac:dyDescent="0.35">
      <c r="H52" s="3"/>
      <c r="N52" s="73"/>
      <c r="U52" s="134"/>
      <c r="V52" s="135"/>
    </row>
    <row r="53" spans="6:49" x14ac:dyDescent="0.35">
      <c r="H53" s="3"/>
      <c r="U53" s="134"/>
      <c r="V53" s="135"/>
    </row>
    <row r="54" spans="6:49" x14ac:dyDescent="0.35">
      <c r="H54" s="3"/>
      <c r="N54" s="77"/>
      <c r="U54" s="134"/>
      <c r="V54" s="135"/>
    </row>
    <row r="55" spans="6:49" x14ac:dyDescent="0.35">
      <c r="H55" s="3"/>
      <c r="N55" s="77"/>
      <c r="U55" s="134"/>
      <c r="V55" s="135"/>
    </row>
    <row r="56" spans="6:49" x14ac:dyDescent="0.35">
      <c r="H56" s="3"/>
      <c r="N56" s="73"/>
      <c r="U56" s="134"/>
      <c r="V56" s="135"/>
    </row>
    <row r="57" spans="6:49" x14ac:dyDescent="0.35">
      <c r="H57" s="3"/>
      <c r="N57" s="73"/>
      <c r="U57" s="134"/>
      <c r="V57" s="135"/>
    </row>
    <row r="58" spans="6:49" x14ac:dyDescent="0.35">
      <c r="H58" s="3"/>
      <c r="U58" s="134"/>
      <c r="V58" s="135"/>
    </row>
    <row r="59" spans="6:49" x14ac:dyDescent="0.35">
      <c r="H59" s="3"/>
      <c r="U59" s="134"/>
      <c r="V59" s="135"/>
    </row>
    <row r="60" spans="6:49" x14ac:dyDescent="0.35">
      <c r="H60" s="3"/>
      <c r="U60" s="134"/>
      <c r="V60" s="135"/>
    </row>
    <row r="61" spans="6:49" x14ac:dyDescent="0.35">
      <c r="H61" s="3"/>
      <c r="N61" s="122"/>
      <c r="O61" s="122"/>
      <c r="U61" s="134"/>
      <c r="V61" s="135"/>
    </row>
    <row r="62" spans="6:49" x14ac:dyDescent="0.35">
      <c r="H62" s="3"/>
      <c r="N62" s="122"/>
      <c r="O62" s="127"/>
      <c r="U62" s="134"/>
      <c r="V62" s="135"/>
    </row>
    <row r="63" spans="6:49" x14ac:dyDescent="0.35">
      <c r="H63" s="3"/>
      <c r="I63" s="11"/>
      <c r="U63" s="134"/>
      <c r="V63" s="135"/>
    </row>
    <row r="64" spans="6:49" x14ac:dyDescent="0.35">
      <c r="H64" s="3"/>
      <c r="I64" s="47"/>
      <c r="N64" s="122"/>
      <c r="U64" s="134"/>
      <c r="V64" s="135"/>
    </row>
    <row r="65" spans="8:44" x14ac:dyDescent="0.35">
      <c r="H65" s="3"/>
      <c r="U65" s="134"/>
      <c r="V65" s="135"/>
    </row>
    <row r="66" spans="8:44" x14ac:dyDescent="0.35">
      <c r="H66" s="3"/>
      <c r="I66" s="11"/>
      <c r="U66" s="134"/>
      <c r="V66" s="135"/>
    </row>
    <row r="67" spans="8:44" x14ac:dyDescent="0.35">
      <c r="H67" s="3"/>
      <c r="I67" s="47"/>
      <c r="U67" s="134"/>
      <c r="V67" s="135"/>
    </row>
    <row r="68" spans="8:44" x14ac:dyDescent="0.35">
      <c r="H68" s="3"/>
      <c r="I68" s="11"/>
      <c r="U68" s="134"/>
      <c r="V68" s="135"/>
    </row>
    <row r="69" spans="8:44" x14ac:dyDescent="0.35">
      <c r="H69" s="3"/>
      <c r="I69" s="47"/>
      <c r="U69" s="134"/>
      <c r="V69" s="135"/>
    </row>
    <row r="70" spans="8:44" x14ac:dyDescent="0.35">
      <c r="H70" s="3"/>
      <c r="I70" s="11"/>
      <c r="U70" s="134"/>
      <c r="V70" s="135"/>
    </row>
    <row r="71" spans="8:44" x14ac:dyDescent="0.35">
      <c r="H71" s="3"/>
      <c r="I71" s="47"/>
      <c r="U71" s="134"/>
      <c r="V71" s="135"/>
    </row>
    <row r="72" spans="8:44" x14ac:dyDescent="0.35">
      <c r="H72" s="3"/>
      <c r="I72" s="11"/>
      <c r="U72" s="134"/>
      <c r="V72" s="135"/>
    </row>
    <row r="73" spans="8:44" x14ac:dyDescent="0.35">
      <c r="H73" s="3"/>
      <c r="I73" s="47"/>
      <c r="U73" s="134"/>
      <c r="V73" s="135"/>
    </row>
    <row r="74" spans="8:44" x14ac:dyDescent="0.35">
      <c r="H74" s="3"/>
      <c r="U74" s="134"/>
      <c r="V74" s="135"/>
    </row>
    <row r="75" spans="8:44" x14ac:dyDescent="0.35">
      <c r="H75" s="3"/>
      <c r="U75" s="134"/>
      <c r="V75" s="135"/>
    </row>
    <row r="76" spans="8:44" x14ac:dyDescent="0.35">
      <c r="H76" s="3"/>
      <c r="I76" s="11"/>
      <c r="U76" s="134"/>
      <c r="V76" s="135"/>
    </row>
    <row r="77" spans="8:44" x14ac:dyDescent="0.35">
      <c r="H77" s="3"/>
      <c r="I77" s="47"/>
      <c r="U77" s="134"/>
      <c r="V77" s="135"/>
    </row>
    <row r="78" spans="8:44" x14ac:dyDescent="0.35">
      <c r="H78" s="3"/>
      <c r="I78" s="90"/>
      <c r="U78" s="134"/>
      <c r="V78" s="135"/>
    </row>
    <row r="79" spans="8:44" x14ac:dyDescent="0.35">
      <c r="H79" s="3"/>
      <c r="I79" s="47"/>
      <c r="Q79" s="90"/>
      <c r="S79" s="22"/>
      <c r="U79" s="134"/>
      <c r="V79" s="135"/>
      <c r="AF79" s="90"/>
      <c r="AH79" s="36"/>
      <c r="AR79" s="11"/>
    </row>
    <row r="80" spans="8:44" x14ac:dyDescent="0.35">
      <c r="H80" s="3"/>
      <c r="I80" s="11"/>
      <c r="U80" s="134"/>
      <c r="V80" s="135"/>
    </row>
    <row r="81" spans="8:49" x14ac:dyDescent="0.35">
      <c r="H81" s="3"/>
      <c r="I81" s="47"/>
      <c r="U81" s="134"/>
      <c r="V81" s="135"/>
      <c r="AU81" s="87"/>
      <c r="AV81" s="37"/>
      <c r="AW81" s="89"/>
    </row>
    <row r="82" spans="8:49" x14ac:dyDescent="0.35">
      <c r="H82" s="3"/>
      <c r="I82" s="11"/>
      <c r="U82" s="134"/>
      <c r="V82" s="135"/>
    </row>
    <row r="83" spans="8:49" x14ac:dyDescent="0.35">
      <c r="H83" s="3"/>
      <c r="I83" s="47"/>
      <c r="U83" s="134"/>
      <c r="V83" s="135"/>
    </row>
    <row r="84" spans="8:49" x14ac:dyDescent="0.35">
      <c r="H84" s="3"/>
      <c r="U84" s="134"/>
      <c r="V84" s="135"/>
    </row>
    <row r="85" spans="8:49" x14ac:dyDescent="0.35">
      <c r="H85" s="3"/>
      <c r="U85" s="134"/>
      <c r="V85" s="135"/>
    </row>
    <row r="86" spans="8:49" x14ac:dyDescent="0.35">
      <c r="H86" s="3"/>
      <c r="U86" s="134"/>
      <c r="V86" s="135"/>
    </row>
    <row r="87" spans="8:49" x14ac:dyDescent="0.35">
      <c r="H87" s="3"/>
      <c r="U87" s="134"/>
      <c r="V87" s="135"/>
    </row>
    <row r="88" spans="8:49" x14ac:dyDescent="0.35">
      <c r="H88" s="3"/>
      <c r="U88" s="134"/>
      <c r="V88" s="135"/>
    </row>
    <row r="89" spans="8:49" x14ac:dyDescent="0.35">
      <c r="H89" s="3"/>
      <c r="U89" s="134"/>
      <c r="V89" s="135"/>
    </row>
    <row r="90" spans="8:49" x14ac:dyDescent="0.35">
      <c r="U90" s="134"/>
      <c r="V90" s="135"/>
    </row>
    <row r="91" spans="8:49" x14ac:dyDescent="0.35">
      <c r="U91" s="134"/>
      <c r="V91" s="135"/>
    </row>
    <row r="92" spans="8:49" x14ac:dyDescent="0.35">
      <c r="H92" s="3"/>
      <c r="U92" s="134"/>
      <c r="V92" s="135"/>
    </row>
    <row r="93" spans="8:49" x14ac:dyDescent="0.35">
      <c r="H93" s="3"/>
      <c r="U93" s="134"/>
      <c r="V93" s="135"/>
    </row>
    <row r="94" spans="8:49" x14ac:dyDescent="0.35">
      <c r="H94" s="3"/>
      <c r="U94" s="134"/>
      <c r="V94" s="135"/>
    </row>
    <row r="95" spans="8:49" x14ac:dyDescent="0.35">
      <c r="H95" s="3"/>
      <c r="U95" s="134"/>
      <c r="V95" s="135"/>
    </row>
    <row r="96" spans="8:49" x14ac:dyDescent="0.35">
      <c r="H96" s="3"/>
      <c r="U96" s="134"/>
      <c r="V96" s="135"/>
    </row>
    <row r="97" spans="8:46" x14ac:dyDescent="0.35">
      <c r="H97" s="3"/>
      <c r="U97" s="134"/>
      <c r="V97" s="135"/>
    </row>
    <row r="98" spans="8:46" x14ac:dyDescent="0.35">
      <c r="H98" s="3"/>
      <c r="U98" s="134"/>
      <c r="V98" s="135"/>
    </row>
    <row r="99" spans="8:46" x14ac:dyDescent="0.35">
      <c r="H99" s="3"/>
      <c r="U99" s="134"/>
      <c r="V99" s="135"/>
    </row>
    <row r="100" spans="8:46" x14ac:dyDescent="0.35">
      <c r="U100" s="134"/>
      <c r="V100" s="135"/>
    </row>
    <row r="101" spans="8:46" x14ac:dyDescent="0.35">
      <c r="U101" s="134"/>
      <c r="V101" s="135"/>
    </row>
    <row r="102" spans="8:46" x14ac:dyDescent="0.35">
      <c r="U102" s="134"/>
      <c r="V102" s="135"/>
    </row>
    <row r="103" spans="8:46" x14ac:dyDescent="0.35">
      <c r="U103" s="134"/>
      <c r="V103" s="135"/>
    </row>
    <row r="104" spans="8:46" x14ac:dyDescent="0.35">
      <c r="H104" s="3"/>
      <c r="I104" s="90"/>
      <c r="U104" s="134"/>
      <c r="V104" s="135"/>
    </row>
    <row r="105" spans="8:46" x14ac:dyDescent="0.35">
      <c r="U105" s="134"/>
      <c r="V105" s="135"/>
    </row>
    <row r="106" spans="8:46" x14ac:dyDescent="0.35">
      <c r="H106" s="3"/>
      <c r="U106" s="134"/>
      <c r="V106" s="135"/>
      <c r="AC106" s="90"/>
      <c r="AE106" s="36"/>
      <c r="AO106" s="11"/>
    </row>
    <row r="107" spans="8:46" x14ac:dyDescent="0.35">
      <c r="U107" s="134"/>
      <c r="V107" s="135"/>
    </row>
    <row r="108" spans="8:46" x14ac:dyDescent="0.35">
      <c r="U108" s="134"/>
      <c r="V108" s="135"/>
    </row>
    <row r="109" spans="8:46" x14ac:dyDescent="0.35">
      <c r="H109" s="3"/>
      <c r="U109" s="134"/>
      <c r="V109" s="135"/>
      <c r="AR109" s="87"/>
      <c r="AS109" s="37"/>
      <c r="AT109" s="87"/>
    </row>
    <row r="110" spans="8:46" x14ac:dyDescent="0.35">
      <c r="U110" s="134"/>
      <c r="V110" s="135"/>
    </row>
    <row r="111" spans="8:46" x14ac:dyDescent="0.35">
      <c r="U111" s="134"/>
      <c r="V111" s="135"/>
    </row>
    <row r="112" spans="8:46" x14ac:dyDescent="0.35">
      <c r="U112" s="134"/>
      <c r="V112" s="135"/>
    </row>
    <row r="113" spans="6:22" x14ac:dyDescent="0.35">
      <c r="U113" s="134"/>
      <c r="V113" s="135"/>
    </row>
    <row r="114" spans="6:22" x14ac:dyDescent="0.35">
      <c r="U114" s="134"/>
      <c r="V114" s="135"/>
    </row>
    <row r="115" spans="6:22" x14ac:dyDescent="0.35">
      <c r="F115" s="134"/>
      <c r="G115" s="68"/>
      <c r="H115" s="134"/>
      <c r="N115" s="123"/>
      <c r="S115" s="123"/>
      <c r="U115" s="134"/>
      <c r="V115" s="135"/>
    </row>
    <row r="116" spans="6:22" x14ac:dyDescent="0.35">
      <c r="F116" s="134"/>
      <c r="G116" s="136"/>
      <c r="H116" s="134"/>
      <c r="S116" s="123"/>
      <c r="V116" s="123"/>
    </row>
    <row r="117" spans="6:22" x14ac:dyDescent="0.35">
      <c r="F117" s="134"/>
      <c r="G117" s="136"/>
      <c r="H117" s="134"/>
    </row>
    <row r="118" spans="6:22" x14ac:dyDescent="0.35">
      <c r="F118" s="134"/>
      <c r="G118" s="136"/>
      <c r="H118" s="134"/>
    </row>
    <row r="119" spans="6:22" x14ac:dyDescent="0.35">
      <c r="F119" s="134"/>
      <c r="G119" s="136"/>
      <c r="H119" s="134"/>
    </row>
    <row r="120" spans="6:22" x14ac:dyDescent="0.35">
      <c r="F120" s="134"/>
      <c r="G120" s="134"/>
      <c r="H120" s="134"/>
    </row>
    <row r="121" spans="6:22" x14ac:dyDescent="0.35">
      <c r="F121" s="134"/>
      <c r="G121" s="68"/>
      <c r="H121" s="134"/>
    </row>
    <row r="122" spans="6:22" x14ac:dyDescent="0.35">
      <c r="F122" s="134"/>
      <c r="G122" s="136"/>
      <c r="H122" s="134"/>
    </row>
    <row r="123" spans="6:22" x14ac:dyDescent="0.35">
      <c r="F123" s="134"/>
      <c r="G123" s="136"/>
      <c r="H123" s="134"/>
    </row>
    <row r="124" spans="6:22" x14ac:dyDescent="0.35">
      <c r="F124" s="134"/>
      <c r="G124" s="136"/>
      <c r="H124" s="134"/>
    </row>
    <row r="125" spans="6:22" x14ac:dyDescent="0.35">
      <c r="F125" s="134"/>
      <c r="G125" s="136"/>
      <c r="H125" s="134"/>
    </row>
    <row r="126" spans="6:22" x14ac:dyDescent="0.35">
      <c r="F126" s="134"/>
      <c r="G126" s="134"/>
      <c r="H126" s="134"/>
    </row>
    <row r="127" spans="6:22" x14ac:dyDescent="0.35">
      <c r="F127" s="134"/>
      <c r="G127" s="134"/>
      <c r="H127" s="134"/>
    </row>
    <row r="128" spans="6:22" x14ac:dyDescent="0.35">
      <c r="F128" s="134"/>
      <c r="G128" s="134"/>
      <c r="H128" s="134"/>
    </row>
    <row r="129" spans="2:8" x14ac:dyDescent="0.35">
      <c r="F129" s="134"/>
      <c r="G129" s="134"/>
      <c r="H129" s="134"/>
    </row>
    <row r="130" spans="2:8" x14ac:dyDescent="0.35">
      <c r="F130" s="134"/>
      <c r="G130" s="134"/>
      <c r="H130" s="134"/>
    </row>
    <row r="131" spans="2:8" x14ac:dyDescent="0.35">
      <c r="F131" s="134"/>
      <c r="G131" s="134"/>
      <c r="H131" s="134"/>
    </row>
    <row r="132" spans="2:8" x14ac:dyDescent="0.35">
      <c r="B132" s="22"/>
      <c r="C132" s="22"/>
      <c r="F132" s="134"/>
      <c r="G132" s="134"/>
      <c r="H132" s="134"/>
    </row>
    <row r="133" spans="2:8" x14ac:dyDescent="0.35">
      <c r="F133" s="134"/>
      <c r="G133" s="134"/>
      <c r="H133" s="134"/>
    </row>
    <row r="134" spans="2:8" x14ac:dyDescent="0.35">
      <c r="F134" s="134"/>
      <c r="G134" s="134"/>
      <c r="H134" s="134"/>
    </row>
    <row r="135" spans="2:8" x14ac:dyDescent="0.35">
      <c r="F135" s="134"/>
      <c r="G135" s="134"/>
      <c r="H135" s="134"/>
    </row>
    <row r="136" spans="2:8" x14ac:dyDescent="0.35">
      <c r="F136" s="134"/>
      <c r="G136" s="134"/>
      <c r="H136" s="134"/>
    </row>
    <row r="137" spans="2:8" x14ac:dyDescent="0.35">
      <c r="F137" s="134"/>
      <c r="G137" s="134"/>
      <c r="H137" s="134"/>
    </row>
    <row r="138" spans="2:8" x14ac:dyDescent="0.35">
      <c r="F138" s="134"/>
      <c r="G138" s="134"/>
      <c r="H138" s="134"/>
    </row>
    <row r="139" spans="2:8" x14ac:dyDescent="0.35">
      <c r="F139" s="134"/>
      <c r="G139" s="134"/>
      <c r="H139" s="134"/>
    </row>
    <row r="140" spans="2:8" x14ac:dyDescent="0.35">
      <c r="F140" s="134"/>
      <c r="G140" s="134"/>
      <c r="H140" s="134"/>
    </row>
    <row r="141" spans="2:8" x14ac:dyDescent="0.35">
      <c r="F141" s="134"/>
      <c r="G141" s="134"/>
      <c r="H141" s="134"/>
    </row>
    <row r="142" spans="2:8" x14ac:dyDescent="0.35">
      <c r="F142" s="134"/>
      <c r="G142" s="134"/>
      <c r="H142" s="134"/>
    </row>
    <row r="143" spans="2:8" x14ac:dyDescent="0.35">
      <c r="F143" s="134"/>
      <c r="G143" s="134"/>
      <c r="H143" s="134"/>
    </row>
    <row r="144" spans="2:8" x14ac:dyDescent="0.35">
      <c r="F144" s="134"/>
      <c r="G144" s="134"/>
      <c r="H144" s="134"/>
    </row>
    <row r="145" spans="6:8" x14ac:dyDescent="0.35">
      <c r="F145" s="134"/>
      <c r="G145" s="134"/>
      <c r="H145" s="134"/>
    </row>
    <row r="146" spans="6:8" x14ac:dyDescent="0.35">
      <c r="F146" s="134"/>
      <c r="G146" s="134"/>
      <c r="H146" s="134"/>
    </row>
    <row r="147" spans="6:8" x14ac:dyDescent="0.35">
      <c r="F147" s="134"/>
      <c r="G147" s="134"/>
      <c r="H147" s="134"/>
    </row>
    <row r="148" spans="6:8" x14ac:dyDescent="0.35">
      <c r="F148" s="134"/>
      <c r="G148" s="134"/>
      <c r="H148" s="134"/>
    </row>
    <row r="149" spans="6:8" x14ac:dyDescent="0.35">
      <c r="F149" s="134"/>
      <c r="G149" s="134"/>
      <c r="H149" s="134"/>
    </row>
    <row r="150" spans="6:8" x14ac:dyDescent="0.35">
      <c r="F150" s="134"/>
      <c r="G150" s="134"/>
      <c r="H150" s="134"/>
    </row>
    <row r="151" spans="6:8" x14ac:dyDescent="0.35">
      <c r="F151" s="134"/>
      <c r="G151" s="134"/>
      <c r="H151" s="134"/>
    </row>
    <row r="152" spans="6:8" x14ac:dyDescent="0.35">
      <c r="F152" s="134"/>
      <c r="G152" s="134"/>
      <c r="H152" s="134"/>
    </row>
    <row r="153" spans="6:8" x14ac:dyDescent="0.35">
      <c r="F153" s="134"/>
      <c r="G153" s="134"/>
      <c r="H153" s="134"/>
    </row>
    <row r="154" spans="6:8" x14ac:dyDescent="0.35">
      <c r="F154" s="134"/>
      <c r="G154" s="134"/>
      <c r="H154" s="134"/>
    </row>
    <row r="155" spans="6:8" x14ac:dyDescent="0.35">
      <c r="F155" s="134"/>
      <c r="G155" s="134"/>
      <c r="H155" s="134"/>
    </row>
    <row r="156" spans="6:8" x14ac:dyDescent="0.35">
      <c r="F156" s="134"/>
      <c r="G156" s="134"/>
      <c r="H156" s="134"/>
    </row>
    <row r="157" spans="6:8" x14ac:dyDescent="0.35">
      <c r="F157" s="134"/>
      <c r="G157" s="134"/>
      <c r="H157" s="134"/>
    </row>
    <row r="158" spans="6:8" x14ac:dyDescent="0.35">
      <c r="F158" s="134"/>
      <c r="G158" s="134"/>
      <c r="H158" s="134"/>
    </row>
    <row r="159" spans="6:8" x14ac:dyDescent="0.35">
      <c r="F159" s="134"/>
      <c r="G159" s="134"/>
      <c r="H159" s="134"/>
    </row>
    <row r="160" spans="6:8" x14ac:dyDescent="0.35">
      <c r="F160" s="134"/>
      <c r="G160" s="134"/>
      <c r="H160" s="134"/>
    </row>
    <row r="161" spans="6:8" x14ac:dyDescent="0.35">
      <c r="F161" s="134"/>
      <c r="G161" s="134"/>
      <c r="H161" s="134"/>
    </row>
    <row r="162" spans="6:8" x14ac:dyDescent="0.35">
      <c r="F162" s="134"/>
      <c r="G162" s="134"/>
      <c r="H162" s="134"/>
    </row>
    <row r="163" spans="6:8" x14ac:dyDescent="0.35">
      <c r="F163" s="134"/>
      <c r="G163" s="134"/>
      <c r="H163" s="134"/>
    </row>
    <row r="164" spans="6:8" x14ac:dyDescent="0.35">
      <c r="F164" s="134"/>
      <c r="G164" s="134"/>
      <c r="H164" s="134"/>
    </row>
  </sheetData>
  <phoneticPr fontId="19" type="noConversion"/>
  <conditionalFormatting sqref="B4:C4">
    <cfRule type="expression" dxfId="1" priority="2" stopIfTrue="1">
      <formula>IF(RiskSelectedNameCell1=CELL("address",$B$4),TRUE)</formula>
    </cfRule>
  </conditionalFormatting>
  <conditionalFormatting sqref="B28">
    <cfRule type="expression" dxfId="0" priority="4" stopIfTrue="1">
      <formula>IF(RiskSelectedNameCell1=CELL("address",$B$28),TRUE)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33C0-28FD-4C9D-A3A6-639DCA814802}">
  <sheetPr codeName="Sheet1"/>
  <dimension ref="A1:BN189"/>
  <sheetViews>
    <sheetView zoomScale="106" zoomScaleNormal="145" workbookViewId="0">
      <selection sqref="A1:XFD1048576"/>
    </sheetView>
  </sheetViews>
  <sheetFormatPr defaultRowHeight="14.5" outlineLevelRow="1" outlineLevelCol="1" x14ac:dyDescent="0.35"/>
  <cols>
    <col min="1" max="1" width="1.7265625" style="3" customWidth="1"/>
    <col min="2" max="2" width="78.453125" style="3" customWidth="1"/>
    <col min="3" max="3" width="30.1796875" style="3" customWidth="1"/>
    <col min="4" max="5" width="8.36328125" style="3" hidden="1" customWidth="1" outlineLevel="1"/>
    <col min="6" max="6" width="13.81640625" style="3" customWidth="1" collapsed="1"/>
    <col min="7" max="7" width="8.7265625" style="3" customWidth="1"/>
    <col min="8" max="12" width="8.81640625" style="3" bestFit="1" customWidth="1"/>
    <col min="13" max="27" width="8.81640625" style="3" hidden="1" customWidth="1" outlineLevel="1"/>
    <col min="28" max="28" width="12.453125" style="3" hidden="1" customWidth="1" outlineLevel="1"/>
    <col min="29" max="30" width="8.81640625" style="3" hidden="1" customWidth="1" outlineLevel="1"/>
    <col min="31" max="31" width="8.81640625" style="3" bestFit="1" customWidth="1" collapsed="1"/>
    <col min="32" max="66" width="8.81640625" style="3" bestFit="1" customWidth="1"/>
    <col min="67" max="16384" width="8.7265625" style="3"/>
  </cols>
  <sheetData>
    <row r="1" spans="1:66" x14ac:dyDescent="0.35"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66" x14ac:dyDescent="0.35">
      <c r="B2" s="3" t="s">
        <v>121</v>
      </c>
      <c r="F2" s="7">
        <v>0</v>
      </c>
      <c r="G2" s="7">
        <v>1</v>
      </c>
      <c r="H2" s="7">
        <v>2</v>
      </c>
      <c r="I2" s="7">
        <v>3</v>
      </c>
      <c r="J2" s="7">
        <v>4</v>
      </c>
      <c r="K2" s="7">
        <v>5</v>
      </c>
      <c r="L2" s="68">
        <v>6</v>
      </c>
      <c r="M2" s="68">
        <v>7</v>
      </c>
      <c r="N2" s="7">
        <v>8</v>
      </c>
      <c r="O2" s="7">
        <v>9</v>
      </c>
      <c r="P2" s="7">
        <v>10</v>
      </c>
      <c r="Q2" s="7">
        <v>11</v>
      </c>
      <c r="R2" s="7">
        <v>12</v>
      </c>
      <c r="S2" s="7">
        <v>13</v>
      </c>
      <c r="T2" s="7">
        <v>14</v>
      </c>
      <c r="U2" s="7">
        <v>15</v>
      </c>
      <c r="V2" s="7">
        <v>16</v>
      </c>
      <c r="W2" s="7">
        <v>17</v>
      </c>
      <c r="X2" s="7">
        <v>18</v>
      </c>
      <c r="Y2" s="7">
        <v>19</v>
      </c>
      <c r="Z2" s="7">
        <v>20</v>
      </c>
      <c r="AA2" s="7">
        <v>21</v>
      </c>
      <c r="AB2" s="7">
        <v>22</v>
      </c>
      <c r="AC2" s="7">
        <v>23</v>
      </c>
      <c r="AD2" s="7">
        <v>24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" x14ac:dyDescent="0.35">
      <c r="A3" s="30" t="s">
        <v>3</v>
      </c>
      <c r="C3" s="61" t="s">
        <v>162</v>
      </c>
      <c r="D3" s="28"/>
      <c r="E3" s="28"/>
      <c r="F3" s="28" t="s">
        <v>15</v>
      </c>
      <c r="G3" s="28" t="s">
        <v>16</v>
      </c>
      <c r="H3" s="28" t="s">
        <v>17</v>
      </c>
      <c r="I3" s="28" t="s">
        <v>18</v>
      </c>
      <c r="J3" s="28" t="s">
        <v>19</v>
      </c>
      <c r="K3" s="28" t="s">
        <v>20</v>
      </c>
      <c r="L3" s="69" t="s">
        <v>21</v>
      </c>
      <c r="M3" s="69" t="s">
        <v>22</v>
      </c>
      <c r="N3" s="28" t="s">
        <v>23</v>
      </c>
      <c r="O3" s="28" t="s">
        <v>24</v>
      </c>
      <c r="P3" s="28" t="s">
        <v>25</v>
      </c>
      <c r="Q3" s="28" t="s">
        <v>26</v>
      </c>
      <c r="R3" s="31" t="s">
        <v>27</v>
      </c>
      <c r="S3" s="28" t="s">
        <v>28</v>
      </c>
      <c r="T3" s="28" t="s">
        <v>29</v>
      </c>
      <c r="U3" s="28" t="s">
        <v>30</v>
      </c>
      <c r="V3" s="28" t="s">
        <v>31</v>
      </c>
      <c r="W3" s="28" t="s">
        <v>32</v>
      </c>
      <c r="X3" s="31" t="s">
        <v>33</v>
      </c>
      <c r="Y3" s="28" t="s">
        <v>34</v>
      </c>
      <c r="Z3" s="28" t="s">
        <v>35</v>
      </c>
      <c r="AA3" s="28" t="s">
        <v>36</v>
      </c>
      <c r="AB3" s="28" t="s">
        <v>37</v>
      </c>
      <c r="AC3" s="28" t="s">
        <v>38</v>
      </c>
      <c r="AD3" s="31" t="s">
        <v>39</v>
      </c>
      <c r="AE3" s="28"/>
      <c r="AF3" s="106" t="s">
        <v>186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</row>
    <row r="4" spans="1:66" x14ac:dyDescent="0.35">
      <c r="G4" s="32"/>
      <c r="H4" s="32"/>
      <c r="I4" s="32"/>
      <c r="J4" s="32"/>
      <c r="K4" s="32"/>
      <c r="L4" s="70"/>
      <c r="M4" s="70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</row>
    <row r="5" spans="1:66" ht="14.5" customHeight="1" x14ac:dyDescent="0.35">
      <c r="B5" s="33" t="s">
        <v>118</v>
      </c>
      <c r="C5" s="17" t="s">
        <v>89</v>
      </c>
      <c r="D5" s="7"/>
      <c r="E5" s="7"/>
      <c r="F5" s="34">
        <f>IF(ISNUMBER('Control Sheet'!$F3),'Control Sheet'!$F3, _xll.RiskUniform('Control Sheet'!$D3,'Control Sheet'!$E3))</f>
        <v>1250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</row>
    <row r="6" spans="1:66" ht="14.5" customHeight="1" x14ac:dyDescent="0.35">
      <c r="B6" s="17" t="s">
        <v>10</v>
      </c>
      <c r="C6" s="17" t="s">
        <v>114</v>
      </c>
      <c r="D6" s="7"/>
      <c r="E6" s="7"/>
      <c r="F6" s="35">
        <f>IF(AND(ISNUMBER('Control Sheet'!$F4),'Control Sheet'!$F4&lt;&gt;0),'Control Sheet'!$F4,_xll.RiskIntUniform('Control Sheet'!D4,'Control Sheet'!E4))</f>
        <v>19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ht="14.5" customHeight="1" x14ac:dyDescent="0.35">
      <c r="C7" s="17"/>
      <c r="D7" s="7"/>
      <c r="E7" s="7"/>
      <c r="F7" s="7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</row>
    <row r="8" spans="1:66" ht="14.5" customHeight="1" x14ac:dyDescent="0.35">
      <c r="B8" s="4" t="s">
        <v>40</v>
      </c>
      <c r="C8" s="17"/>
      <c r="D8" s="7"/>
      <c r="E8" s="7"/>
      <c r="F8" s="7"/>
      <c r="G8" s="32"/>
      <c r="H8" s="32"/>
      <c r="I8" s="2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</row>
    <row r="9" spans="1:66" ht="14.5" customHeight="1" x14ac:dyDescent="0.35">
      <c r="B9" s="17" t="s">
        <v>252</v>
      </c>
      <c r="C9" s="17" t="s">
        <v>115</v>
      </c>
      <c r="D9" s="7"/>
      <c r="E9" s="7"/>
      <c r="F9" s="34" t="e">
        <f ca="1">IF(ISNUMBER('Control Sheet'!$F6),'Control Sheet'!$F6, _xll.RiskNormalAlt(5%,'Control Sheet'!$D6,95%,'Control Sheet'!$E6))</f>
        <v>#NAME?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spans="1:66" ht="14.5" customHeight="1" x14ac:dyDescent="0.35">
      <c r="B10" s="17" t="s">
        <v>225</v>
      </c>
      <c r="C10" s="17" t="s">
        <v>115</v>
      </c>
      <c r="D10" s="7"/>
      <c r="E10" s="7"/>
      <c r="F10" s="34">
        <f>IF(ISNUMBER('Control Sheet'!$F7),'Control Sheet'!$F7,AVERAGE('Control Sheet'!D7:E7))</f>
        <v>-14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spans="1:66" ht="14.5" customHeight="1" x14ac:dyDescent="0.35">
      <c r="B11" s="17" t="s">
        <v>253</v>
      </c>
      <c r="C11" s="17" t="s">
        <v>115</v>
      </c>
      <c r="D11" s="7"/>
      <c r="E11" s="7"/>
      <c r="F11" s="34" t="e">
        <f ca="1">IF(ISNUMBER('Control Sheet'!$F8),'Control Sheet'!$F8, _xll.RiskNormalAlt(5%,'Control Sheet'!$D8,95%,'Control Sheet'!$E8))</f>
        <v>#NAME?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spans="1:66" ht="14.5" customHeight="1" x14ac:dyDescent="0.35">
      <c r="B12" s="17"/>
      <c r="C12" s="17"/>
      <c r="D12" s="7"/>
      <c r="E12" s="7"/>
      <c r="F12" s="7"/>
      <c r="G12" s="32"/>
      <c r="H12" s="11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spans="1:66" ht="14.5" customHeight="1" x14ac:dyDescent="0.35">
      <c r="B13" s="17" t="s">
        <v>254</v>
      </c>
      <c r="C13" s="17" t="s">
        <v>115</v>
      </c>
      <c r="D13" s="7"/>
      <c r="E13" s="7"/>
      <c r="F13" s="34">
        <f>IF(ISNUMBER('Control Sheet'!$F9),'Control Sheet'!$F9, _xll.RiskNormalAlt(5%,'Control Sheet'!$D9,95%,'Control Sheet'!$E9))</f>
        <v>173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spans="1:66" ht="14.5" customHeight="1" x14ac:dyDescent="0.35">
      <c r="B14" s="17" t="s">
        <v>116</v>
      </c>
      <c r="C14" s="17" t="s">
        <v>115</v>
      </c>
      <c r="D14" s="7"/>
      <c r="E14" s="7"/>
      <c r="F14" s="34">
        <f>IF(ISNUMBER('Control Sheet'!$F5),'Control Sheet'!$F5, _xll.RiskNormalAlt(5%,'Control Sheet'!$D5,95%,'Control Sheet'!$E5))</f>
        <v>50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6" ht="14.5" customHeight="1" x14ac:dyDescent="0.35">
      <c r="B15" s="17"/>
      <c r="C15" s="17"/>
      <c r="D15" s="7"/>
      <c r="E15" s="7"/>
      <c r="F15" s="3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x14ac:dyDescent="0.35">
      <c r="B16" s="17" t="s">
        <v>255</v>
      </c>
      <c r="C16" s="17" t="s">
        <v>113</v>
      </c>
      <c r="D16" s="7"/>
      <c r="E16" s="7"/>
      <c r="G16" s="37" t="e">
        <f ca="1">IF(ISNUMBER('Control Sheet'!$F10),'Control Sheet'!$F10, _xll.RiskNormalAlt(5%,'Control Sheet'!$D10,95%,'Control Sheet'!$E10))</f>
        <v>#NAME?</v>
      </c>
      <c r="H16" s="37" t="e">
        <f ca="1">IF(ISNUMBER('Control Sheet'!$F10),'Control Sheet'!$F10, _xll.RiskNormalAlt(5%,'Control Sheet'!$D10,95%,'Control Sheet'!$E10))</f>
        <v>#NAME?</v>
      </c>
      <c r="I16" s="37" t="e">
        <f ca="1">IF(ISNUMBER('Control Sheet'!$F10),'Control Sheet'!$F10, _xll.RiskNormalAlt(5%,'Control Sheet'!$D10,95%,'Control Sheet'!$E10))</f>
        <v>#NAME?</v>
      </c>
      <c r="J16" s="37" t="e">
        <f ca="1">IF(ISNUMBER('Control Sheet'!$F10),'Control Sheet'!$F10, _xll.RiskNormalAlt(5%,'Control Sheet'!$D10,95%,'Control Sheet'!$E10))</f>
        <v>#NAME?</v>
      </c>
      <c r="K16" s="37" t="e">
        <f ca="1">IF(ISNUMBER('Control Sheet'!$F10),'Control Sheet'!$F10, _xll.RiskNormalAlt(5%,'Control Sheet'!$D10,95%,'Control Sheet'!$E10))</f>
        <v>#NAME?</v>
      </c>
      <c r="L16" s="37" t="e">
        <f ca="1">IF(ISNUMBER('Control Sheet'!$F10),'Control Sheet'!$F10, _xll.RiskNormalAlt(5%,'Control Sheet'!$D10,95%,'Control Sheet'!$E10))</f>
        <v>#NAME?</v>
      </c>
      <c r="M16" s="37" t="e">
        <f ca="1">IF(ISNUMBER('Control Sheet'!$F10),'Control Sheet'!$F10, _xll.RiskNormalAlt(5%,'Control Sheet'!$D10,95%,'Control Sheet'!$E10))</f>
        <v>#NAME?</v>
      </c>
      <c r="N16" s="37" t="e">
        <f ca="1">IF(ISNUMBER('Control Sheet'!$F10),'Control Sheet'!$F10, _xll.RiskNormalAlt(5%,'Control Sheet'!$D10,95%,'Control Sheet'!$E10))</f>
        <v>#NAME?</v>
      </c>
      <c r="O16" s="37" t="e">
        <f ca="1">IF(ISNUMBER('Control Sheet'!$F10),'Control Sheet'!$F10, _xll.RiskNormalAlt(5%,'Control Sheet'!$D10,95%,'Control Sheet'!$E10))</f>
        <v>#NAME?</v>
      </c>
      <c r="P16" s="37" t="e">
        <f ca="1">IF(ISNUMBER('Control Sheet'!$F10),'Control Sheet'!$F10, _xll.RiskNormalAlt(5%,'Control Sheet'!$D10,95%,'Control Sheet'!$E10))</f>
        <v>#NAME?</v>
      </c>
      <c r="Q16" s="37" t="e">
        <f ca="1">IF(ISNUMBER('Control Sheet'!$F10),'Control Sheet'!$F10, _xll.RiskNormalAlt(5%,'Control Sheet'!$D10,95%,'Control Sheet'!$E10))</f>
        <v>#NAME?</v>
      </c>
      <c r="R16" s="37" t="e">
        <f ca="1">IF(ISNUMBER('Control Sheet'!$F10),'Control Sheet'!$F10, _xll.RiskNormalAlt(5%,'Control Sheet'!$D10,95%,'Control Sheet'!$E10))</f>
        <v>#NAME?</v>
      </c>
      <c r="S16" s="37" t="e">
        <f ca="1">IF(ISNUMBER('Control Sheet'!$F10),'Control Sheet'!$F10, _xll.RiskNormalAlt(5%,'Control Sheet'!$D10,95%,'Control Sheet'!$E10))</f>
        <v>#NAME?</v>
      </c>
      <c r="T16" s="37" t="e">
        <f ca="1">IF(ISNUMBER('Control Sheet'!$F10),'Control Sheet'!$F10, _xll.RiskNormalAlt(5%,'Control Sheet'!$D10,95%,'Control Sheet'!$E10))</f>
        <v>#NAME?</v>
      </c>
      <c r="U16" s="37" t="e">
        <f ca="1">IF(ISNUMBER('Control Sheet'!$F10),'Control Sheet'!$F10, _xll.RiskNormalAlt(5%,'Control Sheet'!$D10,95%,'Control Sheet'!$E10))</f>
        <v>#NAME?</v>
      </c>
      <c r="V16" s="37" t="e">
        <f ca="1">IF(ISNUMBER('Control Sheet'!$F10),'Control Sheet'!$F10, _xll.RiskNormalAlt(5%,'Control Sheet'!$D10,95%,'Control Sheet'!$E10))</f>
        <v>#NAME?</v>
      </c>
      <c r="W16" s="37" t="e">
        <f ca="1">IF(ISNUMBER('Control Sheet'!$F10),'Control Sheet'!$F10, _xll.RiskNormalAlt(5%,'Control Sheet'!$D10,95%,'Control Sheet'!$E10))</f>
        <v>#NAME?</v>
      </c>
      <c r="X16" s="37" t="e">
        <f ca="1">IF(ISNUMBER('Control Sheet'!$F10),'Control Sheet'!$F10, _xll.RiskNormalAlt(5%,'Control Sheet'!$D10,95%,'Control Sheet'!$E10))</f>
        <v>#NAME?</v>
      </c>
      <c r="Y16" s="37" t="e">
        <f ca="1">IF(ISNUMBER('Control Sheet'!$F10),'Control Sheet'!$F10, _xll.RiskNormalAlt(5%,'Control Sheet'!$D10,95%,'Control Sheet'!$E10))</f>
        <v>#NAME?</v>
      </c>
      <c r="Z16" s="37" t="e">
        <f ca="1">IF(ISNUMBER('Control Sheet'!$F10),'Control Sheet'!$F10, _xll.RiskNormalAlt(5%,'Control Sheet'!$D10,95%,'Control Sheet'!$E10))</f>
        <v>#NAME?</v>
      </c>
      <c r="AA16" s="37" t="e">
        <f ca="1">IF(ISNUMBER('Control Sheet'!$F10),'Control Sheet'!$F10, _xll.RiskNormalAlt(5%,'Control Sheet'!$D10,95%,'Control Sheet'!$E10))</f>
        <v>#NAME?</v>
      </c>
      <c r="AB16" s="37" t="e">
        <f ca="1">IF(ISNUMBER('Control Sheet'!$F10),'Control Sheet'!$F10, _xll.RiskNormalAlt(5%,'Control Sheet'!$D10,95%,'Control Sheet'!$E10))</f>
        <v>#NAME?</v>
      </c>
      <c r="AC16" s="37" t="e">
        <f ca="1">IF(ISNUMBER('Control Sheet'!$F10),'Control Sheet'!$F10, _xll.RiskNormalAlt(5%,'Control Sheet'!$D10,95%,'Control Sheet'!$E10))</f>
        <v>#NAME?</v>
      </c>
      <c r="AD16" s="37" t="e">
        <f ca="1">IF(ISNUMBER('Control Sheet'!$F10),'Control Sheet'!$F10, _xll.RiskNormalAlt(5%,'Control Sheet'!$D10,95%,'Control Sheet'!$E10))</f>
        <v>#NAME?</v>
      </c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2:66" x14ac:dyDescent="0.35">
      <c r="B17" s="17" t="s">
        <v>256</v>
      </c>
      <c r="C17" s="17" t="s">
        <v>113</v>
      </c>
      <c r="D17" s="7"/>
      <c r="E17" s="7"/>
      <c r="G17" s="37" t="e">
        <f ca="1">IF(ISNUMBER('Control Sheet'!$F11),'Control Sheet'!$F11, _xll.RiskNormalAlt(5%,'Control Sheet'!$D11,95%,'Control Sheet'!$E11))</f>
        <v>#NAME?</v>
      </c>
      <c r="H17" s="37" t="e">
        <f ca="1">IF(ISNUMBER('Control Sheet'!$F11),'Control Sheet'!$F11, _xll.RiskNormalAlt(5%,'Control Sheet'!$D11,95%,'Control Sheet'!$E11))</f>
        <v>#NAME?</v>
      </c>
      <c r="I17" s="37" t="e">
        <f ca="1">IF(ISNUMBER('Control Sheet'!$F11),'Control Sheet'!$F11, _xll.RiskNormalAlt(5%,'Control Sheet'!$D11,95%,'Control Sheet'!$E11))</f>
        <v>#NAME?</v>
      </c>
      <c r="J17" s="37" t="e">
        <f ca="1">IF(ISNUMBER('Control Sheet'!$F11),'Control Sheet'!$F11, _xll.RiskNormalAlt(5%,'Control Sheet'!$D11,95%,'Control Sheet'!$E11))</f>
        <v>#NAME?</v>
      </c>
      <c r="K17" s="37" t="e">
        <f ca="1">IF(ISNUMBER('Control Sheet'!$F11),'Control Sheet'!$F11, _xll.RiskNormalAlt(5%,'Control Sheet'!$D11,95%,'Control Sheet'!$E11))</f>
        <v>#NAME?</v>
      </c>
      <c r="L17" s="37" t="e">
        <f ca="1">IF(ISNUMBER('Control Sheet'!$F11),'Control Sheet'!$F11, _xll.RiskNormalAlt(5%,'Control Sheet'!$D11,95%,'Control Sheet'!$E11))</f>
        <v>#NAME?</v>
      </c>
      <c r="M17" s="37" t="e">
        <f ca="1">IF(ISNUMBER('Control Sheet'!$F11),'Control Sheet'!$F11, _xll.RiskNormalAlt(5%,'Control Sheet'!$D11,95%,'Control Sheet'!$E11))</f>
        <v>#NAME?</v>
      </c>
      <c r="N17" s="37" t="e">
        <f ca="1">IF(ISNUMBER('Control Sheet'!$F11),'Control Sheet'!$F11, _xll.RiskNormalAlt(5%,'Control Sheet'!$D11,95%,'Control Sheet'!$E11))</f>
        <v>#NAME?</v>
      </c>
      <c r="O17" s="37" t="e">
        <f ca="1">IF(ISNUMBER('Control Sheet'!$F11),'Control Sheet'!$F11, _xll.RiskNormalAlt(5%,'Control Sheet'!$D11,95%,'Control Sheet'!$E11))</f>
        <v>#NAME?</v>
      </c>
      <c r="P17" s="37" t="e">
        <f ca="1">IF(ISNUMBER('Control Sheet'!$F11),'Control Sheet'!$F11, _xll.RiskNormalAlt(5%,'Control Sheet'!$D11,95%,'Control Sheet'!$E11))</f>
        <v>#NAME?</v>
      </c>
      <c r="Q17" s="37" t="e">
        <f ca="1">IF(ISNUMBER('Control Sheet'!$F11),'Control Sheet'!$F11, _xll.RiskNormalAlt(5%,'Control Sheet'!$D11,95%,'Control Sheet'!$E11))</f>
        <v>#NAME?</v>
      </c>
      <c r="R17" s="37" t="e">
        <f ca="1">IF(ISNUMBER('Control Sheet'!$F11),'Control Sheet'!$F11, _xll.RiskNormalAlt(5%,'Control Sheet'!$D11,95%,'Control Sheet'!$E11))</f>
        <v>#NAME?</v>
      </c>
      <c r="S17" s="37" t="e">
        <f ca="1">IF(ISNUMBER('Control Sheet'!$F11),'Control Sheet'!$F11, _xll.RiskNormalAlt(5%,'Control Sheet'!$D11,95%,'Control Sheet'!$E11))</f>
        <v>#NAME?</v>
      </c>
      <c r="T17" s="37" t="e">
        <f ca="1">IF(ISNUMBER('Control Sheet'!$F11),'Control Sheet'!$F11, _xll.RiskNormalAlt(5%,'Control Sheet'!$D11,95%,'Control Sheet'!$E11))</f>
        <v>#NAME?</v>
      </c>
      <c r="U17" s="37" t="e">
        <f ca="1">IF(ISNUMBER('Control Sheet'!$F11),'Control Sheet'!$F11, _xll.RiskNormalAlt(5%,'Control Sheet'!$D11,95%,'Control Sheet'!$E11))</f>
        <v>#NAME?</v>
      </c>
      <c r="V17" s="37" t="e">
        <f ca="1">IF(ISNUMBER('Control Sheet'!$F11),'Control Sheet'!$F11, _xll.RiskNormalAlt(5%,'Control Sheet'!$D11,95%,'Control Sheet'!$E11))</f>
        <v>#NAME?</v>
      </c>
      <c r="W17" s="37" t="e">
        <f ca="1">IF(ISNUMBER('Control Sheet'!$F11),'Control Sheet'!$F11, _xll.RiskNormalAlt(5%,'Control Sheet'!$D11,95%,'Control Sheet'!$E11))</f>
        <v>#NAME?</v>
      </c>
      <c r="X17" s="37" t="e">
        <f ca="1">IF(ISNUMBER('Control Sheet'!$F11),'Control Sheet'!$F11, _xll.RiskNormalAlt(5%,'Control Sheet'!$D11,95%,'Control Sheet'!$E11))</f>
        <v>#NAME?</v>
      </c>
      <c r="Y17" s="37" t="e">
        <f ca="1">IF(ISNUMBER('Control Sheet'!$F11),'Control Sheet'!$F11, _xll.RiskNormalAlt(5%,'Control Sheet'!$D11,95%,'Control Sheet'!$E11))</f>
        <v>#NAME?</v>
      </c>
      <c r="Z17" s="37" t="e">
        <f ca="1">IF(ISNUMBER('Control Sheet'!$F11),'Control Sheet'!$F11, _xll.RiskNormalAlt(5%,'Control Sheet'!$D11,95%,'Control Sheet'!$E11))</f>
        <v>#NAME?</v>
      </c>
      <c r="AA17" s="37" t="e">
        <f ca="1">IF(ISNUMBER('Control Sheet'!$F11),'Control Sheet'!$F11, _xll.RiskNormalAlt(5%,'Control Sheet'!$D11,95%,'Control Sheet'!$E11))</f>
        <v>#NAME?</v>
      </c>
      <c r="AB17" s="37" t="e">
        <f ca="1">IF(ISNUMBER('Control Sheet'!$F11),'Control Sheet'!$F11, _xll.RiskNormalAlt(5%,'Control Sheet'!$D11,95%,'Control Sheet'!$E11))</f>
        <v>#NAME?</v>
      </c>
      <c r="AC17" s="37" t="e">
        <f ca="1">IF(ISNUMBER('Control Sheet'!$F11),'Control Sheet'!$F11, _xll.RiskNormalAlt(5%,'Control Sheet'!$D11,95%,'Control Sheet'!$E11))</f>
        <v>#NAME?</v>
      </c>
      <c r="AD17" s="37" t="e">
        <f ca="1">IF(ISNUMBER('Control Sheet'!$F11),'Control Sheet'!$F11, _xll.RiskNormalAlt(5%,'Control Sheet'!$D11,95%,'Control Sheet'!$E11))</f>
        <v>#NAME?</v>
      </c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2:66" x14ac:dyDescent="0.35">
      <c r="B18" s="17"/>
      <c r="C18" s="1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2:66" x14ac:dyDescent="0.35">
      <c r="B19" s="38" t="s">
        <v>215</v>
      </c>
      <c r="C19" s="17" t="s">
        <v>113</v>
      </c>
      <c r="G19" s="129">
        <f>'Supplementary inputs'!G8</f>
        <v>7.0000000000000001E-3</v>
      </c>
      <c r="H19" s="37">
        <f>IF(ISNUMBER('Control Sheet'!$F12),'Control Sheet'!$F12, _xll.RiskNormalAlt(5%,'Control Sheet'!$D12,95%,'Control Sheet'!$E12))</f>
        <v>0.02</v>
      </c>
      <c r="I19" s="37">
        <f>IF(ISNUMBER('Control Sheet'!$F12),'Control Sheet'!$F12, _xll.RiskNormalAlt(5%,'Control Sheet'!$D12,95%,'Control Sheet'!$E12))</f>
        <v>0.02</v>
      </c>
      <c r="J19" s="37">
        <f>IF(ISNUMBER('Control Sheet'!$F12),'Control Sheet'!$F12, _xll.RiskNormalAlt(5%,'Control Sheet'!$D12,95%,'Control Sheet'!$E12))</f>
        <v>0.02</v>
      </c>
      <c r="K19" s="37">
        <f>IF(ISNUMBER('Control Sheet'!$F12),'Control Sheet'!$F12, _xll.RiskNormalAlt(5%,'Control Sheet'!$D12,95%,'Control Sheet'!$E12))</f>
        <v>0.02</v>
      </c>
      <c r="L19" s="37">
        <f>IF(ISNUMBER('Control Sheet'!$F12),'Control Sheet'!$F12, _xll.RiskNormalAlt(5%,'Control Sheet'!$D12,95%,'Control Sheet'!$E12))</f>
        <v>0.02</v>
      </c>
      <c r="M19" s="37">
        <f>IF(ISNUMBER('Control Sheet'!$F12),'Control Sheet'!$F12, _xll.RiskNormalAlt(5%,'Control Sheet'!$D12,95%,'Control Sheet'!$E12))</f>
        <v>0.02</v>
      </c>
      <c r="N19" s="37">
        <f>IF(ISNUMBER('Control Sheet'!$F12),'Control Sheet'!$F12, _xll.RiskNormalAlt(5%,'Control Sheet'!$D12,95%,'Control Sheet'!$E12))</f>
        <v>0.02</v>
      </c>
      <c r="O19" s="37">
        <f>IF(ISNUMBER('Control Sheet'!$F12),'Control Sheet'!$F12, _xll.RiskNormalAlt(5%,'Control Sheet'!$D12,95%,'Control Sheet'!$E12))</f>
        <v>0.02</v>
      </c>
      <c r="P19" s="37">
        <f>IF(ISNUMBER('Control Sheet'!$F12),'Control Sheet'!$F12, _xll.RiskNormalAlt(5%,'Control Sheet'!$D12,95%,'Control Sheet'!$E12))</f>
        <v>0.02</v>
      </c>
      <c r="Q19" s="37">
        <f>IF(ISNUMBER('Control Sheet'!$F12),'Control Sheet'!$F12, _xll.RiskNormalAlt(5%,'Control Sheet'!$D12,95%,'Control Sheet'!$E12))</f>
        <v>0.02</v>
      </c>
      <c r="R19" s="37">
        <f>IF(ISNUMBER('Control Sheet'!$F12),'Control Sheet'!$F12, _xll.RiskNormalAlt(5%,'Control Sheet'!$D12,95%,'Control Sheet'!$E12))</f>
        <v>0.02</v>
      </c>
      <c r="S19" s="37">
        <f>IF(ISNUMBER('Control Sheet'!$F12),'Control Sheet'!$F12, _xll.RiskNormalAlt(5%,'Control Sheet'!$D12,95%,'Control Sheet'!$E12))</f>
        <v>0.02</v>
      </c>
      <c r="T19" s="37">
        <f>IF(ISNUMBER('Control Sheet'!$F12),'Control Sheet'!$F12, _xll.RiskNormalAlt(5%,'Control Sheet'!$D12,95%,'Control Sheet'!$E12))</f>
        <v>0.02</v>
      </c>
      <c r="U19" s="37">
        <f>IF(ISNUMBER('Control Sheet'!$F12),'Control Sheet'!$F12, _xll.RiskNormalAlt(5%,'Control Sheet'!$D12,95%,'Control Sheet'!$E12))</f>
        <v>0.02</v>
      </c>
      <c r="V19" s="37">
        <f>IF(ISNUMBER('Control Sheet'!$F12),'Control Sheet'!$F12, _xll.RiskNormalAlt(5%,'Control Sheet'!$D12,95%,'Control Sheet'!$E12))</f>
        <v>0.02</v>
      </c>
      <c r="W19" s="37">
        <f>IF(ISNUMBER('Control Sheet'!$F12),'Control Sheet'!$F12, _xll.RiskNormalAlt(5%,'Control Sheet'!$D12,95%,'Control Sheet'!$E12))</f>
        <v>0.02</v>
      </c>
      <c r="X19" s="37">
        <f>IF(ISNUMBER('Control Sheet'!$F12),'Control Sheet'!$F12, _xll.RiskNormalAlt(5%,'Control Sheet'!$D12,95%,'Control Sheet'!$E12))</f>
        <v>0.02</v>
      </c>
      <c r="Y19" s="37">
        <f>IF(ISNUMBER('Control Sheet'!$F12),'Control Sheet'!$F12, _xll.RiskNormalAlt(5%,'Control Sheet'!$D12,95%,'Control Sheet'!$E12))</f>
        <v>0.02</v>
      </c>
      <c r="Z19" s="37">
        <f>IF(ISNUMBER('Control Sheet'!$F12),'Control Sheet'!$F12, _xll.RiskNormalAlt(5%,'Control Sheet'!$D12,95%,'Control Sheet'!$E12))</f>
        <v>0.02</v>
      </c>
      <c r="AA19" s="37">
        <f>IF(ISNUMBER('Control Sheet'!$F12),'Control Sheet'!$F12, _xll.RiskNormalAlt(5%,'Control Sheet'!$D12,95%,'Control Sheet'!$E12))</f>
        <v>0.02</v>
      </c>
      <c r="AB19" s="37">
        <f>IF(ISNUMBER('Control Sheet'!$F12),'Control Sheet'!$F12, _xll.RiskNormalAlt(5%,'Control Sheet'!$D12,95%,'Control Sheet'!$E12))</f>
        <v>0.02</v>
      </c>
      <c r="AC19" s="37">
        <f>IF(ISNUMBER('Control Sheet'!$F12),'Control Sheet'!$F12, _xll.RiskNormalAlt(5%,'Control Sheet'!$D12,95%,'Control Sheet'!$E12))</f>
        <v>0.02</v>
      </c>
      <c r="AD19" s="37">
        <f>IF(ISNUMBER('Control Sheet'!$F12),'Control Sheet'!$F12, _xll.RiskNormalAlt(5%,'Control Sheet'!$D12,95%,'Control Sheet'!$E12))</f>
        <v>0.02</v>
      </c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2:66" x14ac:dyDescent="0.35">
      <c r="B20" s="17" t="s">
        <v>179</v>
      </c>
      <c r="C20" s="17" t="s">
        <v>113</v>
      </c>
      <c r="D20" s="7"/>
      <c r="E20" s="7"/>
      <c r="G20" s="37">
        <f>IF(ISNUMBER('Control Sheet'!$F13),'Control Sheet'!$F13, _xll.RiskNormalAlt(5%,'Control Sheet'!$D13,95%,'Control Sheet'!$E13))</f>
        <v>0.02</v>
      </c>
      <c r="H20" s="37">
        <f>IF(ISNUMBER('Control Sheet'!$F13),'Control Sheet'!$F13, _xll.RiskNormalAlt(5%,'Control Sheet'!$D13,95%,'Control Sheet'!$E13))</f>
        <v>0.02</v>
      </c>
      <c r="I20" s="37">
        <f>IF(ISNUMBER('Control Sheet'!$F13),'Control Sheet'!$F13, _xll.RiskNormalAlt(5%,'Control Sheet'!$D13,95%,'Control Sheet'!$E13))</f>
        <v>0.02</v>
      </c>
      <c r="J20" s="37">
        <f>IF(ISNUMBER('Control Sheet'!$F13),'Control Sheet'!$F13, _xll.RiskNormalAlt(5%,'Control Sheet'!$D13,95%,'Control Sheet'!$E13))</f>
        <v>0.02</v>
      </c>
      <c r="K20" s="37">
        <f>IF(ISNUMBER('Control Sheet'!$F13),'Control Sheet'!$F13, _xll.RiskNormalAlt(5%,'Control Sheet'!$D13,95%,'Control Sheet'!$E13))</f>
        <v>0.02</v>
      </c>
      <c r="L20" s="37">
        <f>IF(ISNUMBER('Control Sheet'!$F13),'Control Sheet'!$F13, _xll.RiskNormalAlt(5%,'Control Sheet'!$D13,95%,'Control Sheet'!$E13))</f>
        <v>0.02</v>
      </c>
      <c r="M20" s="37">
        <f>IF(ISNUMBER('Control Sheet'!$F13),'Control Sheet'!$F13, _xll.RiskNormalAlt(5%,'Control Sheet'!$D13,95%,'Control Sheet'!$E13))</f>
        <v>0.02</v>
      </c>
      <c r="N20" s="37">
        <f>IF(ISNUMBER('Control Sheet'!$F13),'Control Sheet'!$F13, _xll.RiskNormalAlt(5%,'Control Sheet'!$D13,95%,'Control Sheet'!$E13))</f>
        <v>0.02</v>
      </c>
      <c r="O20" s="37">
        <f>IF(ISNUMBER('Control Sheet'!$F13),'Control Sheet'!$F13, _xll.RiskNormalAlt(5%,'Control Sheet'!$D13,95%,'Control Sheet'!$E13))</f>
        <v>0.02</v>
      </c>
      <c r="P20" s="37">
        <f>IF(ISNUMBER('Control Sheet'!$F13),'Control Sheet'!$F13, _xll.RiskNormalAlt(5%,'Control Sheet'!$D13,95%,'Control Sheet'!$E13))</f>
        <v>0.02</v>
      </c>
      <c r="Q20" s="37">
        <f>IF(ISNUMBER('Control Sheet'!$F13),'Control Sheet'!$F13, _xll.RiskNormalAlt(5%,'Control Sheet'!$D13,95%,'Control Sheet'!$E13))</f>
        <v>0.02</v>
      </c>
      <c r="R20" s="37">
        <f>IF(ISNUMBER('Control Sheet'!$F13),'Control Sheet'!$F13, _xll.RiskNormalAlt(5%,'Control Sheet'!$D13,95%,'Control Sheet'!$E13))</f>
        <v>0.02</v>
      </c>
      <c r="S20" s="37">
        <f>IF(ISNUMBER('Control Sheet'!$F13),'Control Sheet'!$F13, _xll.RiskNormalAlt(5%,'Control Sheet'!$D13,95%,'Control Sheet'!$E13))</f>
        <v>0.02</v>
      </c>
      <c r="T20" s="37">
        <f>IF(ISNUMBER('Control Sheet'!$F13),'Control Sheet'!$F13, _xll.RiskNormalAlt(5%,'Control Sheet'!$D13,95%,'Control Sheet'!$E13))</f>
        <v>0.02</v>
      </c>
      <c r="U20" s="37">
        <f>IF(ISNUMBER('Control Sheet'!$F13),'Control Sheet'!$F13, _xll.RiskNormalAlt(5%,'Control Sheet'!$D13,95%,'Control Sheet'!$E13))</f>
        <v>0.02</v>
      </c>
      <c r="V20" s="37">
        <f>IF(ISNUMBER('Control Sheet'!$F13),'Control Sheet'!$F13, _xll.RiskNormalAlt(5%,'Control Sheet'!$D13,95%,'Control Sheet'!$E13))</f>
        <v>0.02</v>
      </c>
      <c r="W20" s="37">
        <f>IF(ISNUMBER('Control Sheet'!$F13),'Control Sheet'!$F13, _xll.RiskNormalAlt(5%,'Control Sheet'!$D13,95%,'Control Sheet'!$E13))</f>
        <v>0.02</v>
      </c>
      <c r="X20" s="37">
        <f>IF(ISNUMBER('Control Sheet'!$F13),'Control Sheet'!$F13, _xll.RiskNormalAlt(5%,'Control Sheet'!$D13,95%,'Control Sheet'!$E13))</f>
        <v>0.02</v>
      </c>
      <c r="Y20" s="37">
        <f>IF(ISNUMBER('Control Sheet'!$F13),'Control Sheet'!$F13, _xll.RiskNormalAlt(5%,'Control Sheet'!$D13,95%,'Control Sheet'!$E13))</f>
        <v>0.02</v>
      </c>
      <c r="Z20" s="37">
        <f>IF(ISNUMBER('Control Sheet'!$F13),'Control Sheet'!$F13, _xll.RiskNormalAlt(5%,'Control Sheet'!$D13,95%,'Control Sheet'!$E13))</f>
        <v>0.02</v>
      </c>
      <c r="AA20" s="37">
        <f>IF(ISNUMBER('Control Sheet'!$F13),'Control Sheet'!$F13, _xll.RiskNormalAlt(5%,'Control Sheet'!$D13,95%,'Control Sheet'!$E13))</f>
        <v>0.02</v>
      </c>
      <c r="AB20" s="37">
        <f>IF(ISNUMBER('Control Sheet'!$F13),'Control Sheet'!$F13, _xll.RiskNormalAlt(5%,'Control Sheet'!$D13,95%,'Control Sheet'!$E13))</f>
        <v>0.02</v>
      </c>
      <c r="AC20" s="37">
        <f>IF(ISNUMBER('Control Sheet'!$F13),'Control Sheet'!$F13, _xll.RiskNormalAlt(5%,'Control Sheet'!$D13,95%,'Control Sheet'!$E13))</f>
        <v>0.02</v>
      </c>
      <c r="AD20" s="37">
        <f>IF(ISNUMBER('Control Sheet'!$F13),'Control Sheet'!$F13, _xll.RiskNormalAlt(5%,'Control Sheet'!$D13,95%,'Control Sheet'!$E13))</f>
        <v>0.02</v>
      </c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2:66" x14ac:dyDescent="0.35">
      <c r="B21" s="17"/>
      <c r="C21" s="17"/>
    </row>
    <row r="22" spans="2:66" x14ac:dyDescent="0.35">
      <c r="B22" s="17" t="s">
        <v>239</v>
      </c>
      <c r="C22" s="17" t="s">
        <v>115</v>
      </c>
      <c r="D22" s="7"/>
      <c r="E22" s="7"/>
      <c r="G22" s="130">
        <v>180</v>
      </c>
      <c r="H22" s="130" t="e">
        <f ca="1">_xll.RiskDiscrete({169,170,171},{0,1,0},_xll.RiskStatic(170))</f>
        <v>#NAME?</v>
      </c>
      <c r="I22" s="130" t="e">
        <f ca="1">_xll.RiskDiscrete({169,170,171},{0,1,0},_xll.RiskStatic(170))</f>
        <v>#NAME?</v>
      </c>
      <c r="J22" s="130" t="e">
        <f ca="1">_xll.RiskDiscrete({169,170,171},{0,1,0},_xll.RiskStatic(170))</f>
        <v>#NAME?</v>
      </c>
      <c r="K22" s="130" t="e">
        <f ca="1">_xll.RiskDiscrete({169,170,171},{0,1,0},_xll.RiskStatic(170))</f>
        <v>#NAME?</v>
      </c>
      <c r="L22" s="130" t="e">
        <f ca="1">_xll.RiskDiscrete({169,170,171},{0,1,0},_xll.RiskStatic(170))</f>
        <v>#NAME?</v>
      </c>
      <c r="M22" s="36" t="e">
        <f ca="1">L22-10</f>
        <v>#NAME?</v>
      </c>
      <c r="N22" s="36" t="e">
        <f t="shared" ref="N22:O22" ca="1" si="0">M22-10</f>
        <v>#NAME?</v>
      </c>
      <c r="O22" s="36" t="e">
        <f t="shared" ca="1" si="0"/>
        <v>#NAME?</v>
      </c>
      <c r="P22" s="36" t="e">
        <f ca="1">O22-10</f>
        <v>#NAME?</v>
      </c>
      <c r="Q22" s="36" t="e">
        <f ca="1">P22-10</f>
        <v>#NAME?</v>
      </c>
      <c r="R22" s="36" t="e">
        <f ca="1">Q22</f>
        <v>#NAME?</v>
      </c>
      <c r="S22" s="36" t="e">
        <f ca="1">IF(ISNUMBER('Control Sheet'!$F14),'Control Sheet'!$F14, _xll.RiskNormalAlt(5%,'Control Sheet'!$D14,95%,'Control Sheet'!$E14))</f>
        <v>#NAME?</v>
      </c>
      <c r="T22" s="36" t="e">
        <f ca="1">IF(ISNUMBER('Control Sheet'!$F14),'Control Sheet'!$F14, _xll.RiskNormalAlt(5%,'Control Sheet'!$D14,95%,'Control Sheet'!$E14))</f>
        <v>#NAME?</v>
      </c>
      <c r="U22" s="36" t="e">
        <f ca="1">IF(ISNUMBER('Control Sheet'!$F14),'Control Sheet'!$F14, _xll.RiskNormalAlt(5%,'Control Sheet'!$D14,95%,'Control Sheet'!$E14))</f>
        <v>#NAME?</v>
      </c>
      <c r="V22" s="36" t="e">
        <f ca="1">IF(ISNUMBER('Control Sheet'!$F14),'Control Sheet'!$F14, _xll.RiskNormalAlt(5%,'Control Sheet'!$D14,95%,'Control Sheet'!$E14))</f>
        <v>#NAME?</v>
      </c>
      <c r="W22" s="36" t="e">
        <f ca="1">IF(ISNUMBER('Control Sheet'!$F14),'Control Sheet'!$F14, _xll.RiskNormalAlt(5%,'Control Sheet'!$D14,95%,'Control Sheet'!$E14))</f>
        <v>#NAME?</v>
      </c>
      <c r="X22" s="36" t="e">
        <f ca="1">IF(ISNUMBER('Control Sheet'!$F14),'Control Sheet'!$F14, _xll.RiskNormalAlt(5%,'Control Sheet'!$D14,95%,'Control Sheet'!$E14))</f>
        <v>#NAME?</v>
      </c>
      <c r="Y22" s="36" t="e">
        <f ca="1">IF(ISNUMBER('Control Sheet'!$F14),'Control Sheet'!$F14, _xll.RiskNormalAlt(5%,'Control Sheet'!$D14,95%,'Control Sheet'!$E14))</f>
        <v>#NAME?</v>
      </c>
      <c r="Z22" s="36" t="e">
        <f ca="1">IF(ISNUMBER('Control Sheet'!$F14),'Control Sheet'!$F14, _xll.RiskNormalAlt(5%,'Control Sheet'!$D14,95%,'Control Sheet'!$E14))</f>
        <v>#NAME?</v>
      </c>
      <c r="AA22" s="36" t="e">
        <f ca="1">IF(ISNUMBER('Control Sheet'!$F14),'Control Sheet'!$F14, _xll.RiskNormalAlt(5%,'Control Sheet'!$D14,95%,'Control Sheet'!$E14))</f>
        <v>#NAME?</v>
      </c>
      <c r="AB22" s="36" t="e">
        <f ca="1">IF(ISNUMBER('Control Sheet'!$F14),'Control Sheet'!$F14, _xll.RiskNormalAlt(5%,'Control Sheet'!$D14,95%,'Control Sheet'!$E14))</f>
        <v>#NAME?</v>
      </c>
      <c r="AC22" s="36" t="e">
        <f ca="1">IF(ISNUMBER('Control Sheet'!$F14),'Control Sheet'!$F14, _xll.RiskNormalAlt(5%,'Control Sheet'!$D14,95%,'Control Sheet'!$E14))</f>
        <v>#NAME?</v>
      </c>
      <c r="AD22" s="36" t="e">
        <f ca="1">IF(ISNUMBER('Control Sheet'!$F14),'Control Sheet'!$F14, _xll.RiskNormalAlt(5%,'Control Sheet'!$D14,95%,'Control Sheet'!$E14))</f>
        <v>#NAME?</v>
      </c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</row>
    <row r="23" spans="2:66" x14ac:dyDescent="0.35">
      <c r="B23" s="17" t="s">
        <v>12</v>
      </c>
      <c r="C23" s="17" t="s">
        <v>113</v>
      </c>
      <c r="D23" s="7"/>
      <c r="E23" s="7"/>
      <c r="G23" s="37">
        <f>IF(ISNUMBER('Control Sheet'!$F15),'Control Sheet'!$F15, _xll.RiskNormalAlt(5%,'Control Sheet'!$D15,95%,'Control Sheet'!$E15))</f>
        <v>0.01</v>
      </c>
      <c r="H23" s="37">
        <f>IF(ISNUMBER('Control Sheet'!$F15),'Control Sheet'!$F15, _xll.RiskNormalAlt(5%,'Control Sheet'!$D15,95%,'Control Sheet'!$E15))</f>
        <v>0.01</v>
      </c>
      <c r="I23" s="37">
        <f>IF(ISNUMBER('Control Sheet'!$F15),'Control Sheet'!$F15, _xll.RiskNormalAlt(5%,'Control Sheet'!$D15,95%,'Control Sheet'!$E15))</f>
        <v>0.01</v>
      </c>
      <c r="J23" s="37">
        <f>IF(ISNUMBER('Control Sheet'!$F15),'Control Sheet'!$F15, _xll.RiskNormalAlt(5%,'Control Sheet'!$D15,95%,'Control Sheet'!$E15))</f>
        <v>0.01</v>
      </c>
      <c r="K23" s="37">
        <f>IF(ISNUMBER('Control Sheet'!$F15),'Control Sheet'!$F15, _xll.RiskNormalAlt(5%,'Control Sheet'!$D15,95%,'Control Sheet'!$E15))</f>
        <v>0.01</v>
      </c>
      <c r="L23" s="37">
        <f>IF(ISNUMBER('Control Sheet'!$F15),'Control Sheet'!$F15, _xll.RiskNormalAlt(5%,'Control Sheet'!$D15,95%,'Control Sheet'!$E15))</f>
        <v>0.01</v>
      </c>
      <c r="M23" s="37">
        <f>IF(ISNUMBER('Control Sheet'!$F15),'Control Sheet'!$F15, _xll.RiskNormalAlt(5%,'Control Sheet'!$D15,95%,'Control Sheet'!$E15))</f>
        <v>0.01</v>
      </c>
      <c r="N23" s="37">
        <f>IF(ISNUMBER('Control Sheet'!$F15),'Control Sheet'!$F15, _xll.RiskNormalAlt(5%,'Control Sheet'!$D15,95%,'Control Sheet'!$E15))</f>
        <v>0.01</v>
      </c>
      <c r="O23" s="37">
        <f>IF(ISNUMBER('Control Sheet'!$F15),'Control Sheet'!$F15, _xll.RiskNormalAlt(5%,'Control Sheet'!$D15,95%,'Control Sheet'!$E15))</f>
        <v>0.01</v>
      </c>
      <c r="P23" s="37">
        <f>IF(ISNUMBER('Control Sheet'!$F15),'Control Sheet'!$F15, _xll.RiskNormalAlt(5%,'Control Sheet'!$D15,95%,'Control Sheet'!$E15))</f>
        <v>0.01</v>
      </c>
      <c r="Q23" s="37">
        <f>IF(ISNUMBER('Control Sheet'!$F15),'Control Sheet'!$F15, _xll.RiskNormalAlt(5%,'Control Sheet'!$D15,95%,'Control Sheet'!$E15))</f>
        <v>0.01</v>
      </c>
      <c r="R23" s="37">
        <f>IF(ISNUMBER('Control Sheet'!$F15),'Control Sheet'!$F15, _xll.RiskNormalAlt(5%,'Control Sheet'!$D15,95%,'Control Sheet'!$E15))</f>
        <v>0.01</v>
      </c>
      <c r="S23" s="37">
        <f>IF(ISNUMBER('Control Sheet'!$F15),'Control Sheet'!$F15, _xll.RiskNormalAlt(5%,'Control Sheet'!$D15,95%,'Control Sheet'!$E15))</f>
        <v>0.01</v>
      </c>
      <c r="T23" s="37">
        <f>IF(ISNUMBER('Control Sheet'!$F15),'Control Sheet'!$F15, _xll.RiskNormalAlt(5%,'Control Sheet'!$D15,95%,'Control Sheet'!$E15))</f>
        <v>0.01</v>
      </c>
      <c r="U23" s="37">
        <f>IF(ISNUMBER('Control Sheet'!$F15),'Control Sheet'!$F15, _xll.RiskNormalAlt(5%,'Control Sheet'!$D15,95%,'Control Sheet'!$E15))</f>
        <v>0.01</v>
      </c>
      <c r="V23" s="37">
        <f>IF(ISNUMBER('Control Sheet'!$F15),'Control Sheet'!$F15, _xll.RiskNormalAlt(5%,'Control Sheet'!$D15,95%,'Control Sheet'!$E15))</f>
        <v>0.01</v>
      </c>
      <c r="W23" s="37">
        <f>IF(ISNUMBER('Control Sheet'!$F15),'Control Sheet'!$F15, _xll.RiskNormalAlt(5%,'Control Sheet'!$D15,95%,'Control Sheet'!$E15))</f>
        <v>0.01</v>
      </c>
      <c r="X23" s="37">
        <f>IF(ISNUMBER('Control Sheet'!$F15),'Control Sheet'!$F15, _xll.RiskNormalAlt(5%,'Control Sheet'!$D15,95%,'Control Sheet'!$E15))</f>
        <v>0.01</v>
      </c>
      <c r="Y23" s="37">
        <f>IF(ISNUMBER('Control Sheet'!$F15),'Control Sheet'!$F15, _xll.RiskNormalAlt(5%,'Control Sheet'!$D15,95%,'Control Sheet'!$E15))</f>
        <v>0.01</v>
      </c>
      <c r="Z23" s="37">
        <f>IF(ISNUMBER('Control Sheet'!$F15),'Control Sheet'!$F15, _xll.RiskNormalAlt(5%,'Control Sheet'!$D15,95%,'Control Sheet'!$E15))</f>
        <v>0.01</v>
      </c>
      <c r="AA23" s="37">
        <f>IF(ISNUMBER('Control Sheet'!$F15),'Control Sheet'!$F15, _xll.RiskNormalAlt(5%,'Control Sheet'!$D15,95%,'Control Sheet'!$E15))</f>
        <v>0.01</v>
      </c>
      <c r="AB23" s="37">
        <f>IF(ISNUMBER('Control Sheet'!$F15),'Control Sheet'!$F15, _xll.RiskNormalAlt(5%,'Control Sheet'!$D15,95%,'Control Sheet'!$E15))</f>
        <v>0.01</v>
      </c>
      <c r="AC23" s="37">
        <f>IF(ISNUMBER('Control Sheet'!$F15),'Control Sheet'!$F15, _xll.RiskNormalAlt(5%,'Control Sheet'!$D15,95%,'Control Sheet'!$E15))</f>
        <v>0.01</v>
      </c>
      <c r="AD23" s="37">
        <f>IF(ISNUMBER('Control Sheet'!$F15),'Control Sheet'!$F15, _xll.RiskNormalAlt(5%,'Control Sheet'!$D15,95%,'Control Sheet'!$E15))</f>
        <v>0.01</v>
      </c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2:66" x14ac:dyDescent="0.35">
      <c r="B24" s="17" t="s">
        <v>41</v>
      </c>
      <c r="C24" s="17" t="s">
        <v>113</v>
      </c>
      <c r="D24" s="7"/>
      <c r="E24" s="7"/>
      <c r="G24" s="37">
        <f>G23+G20</f>
        <v>0.03</v>
      </c>
      <c r="H24" s="37">
        <f t="shared" ref="H24:AD24" si="1">H23+H20</f>
        <v>0.03</v>
      </c>
      <c r="I24" s="37">
        <f t="shared" si="1"/>
        <v>0.03</v>
      </c>
      <c r="J24" s="37">
        <f t="shared" si="1"/>
        <v>0.03</v>
      </c>
      <c r="K24" s="37">
        <f t="shared" si="1"/>
        <v>0.03</v>
      </c>
      <c r="L24" s="37">
        <f t="shared" si="1"/>
        <v>0.03</v>
      </c>
      <c r="M24" s="37">
        <f t="shared" si="1"/>
        <v>0.03</v>
      </c>
      <c r="N24" s="37">
        <f t="shared" si="1"/>
        <v>0.03</v>
      </c>
      <c r="O24" s="37">
        <f t="shared" si="1"/>
        <v>0.03</v>
      </c>
      <c r="P24" s="37">
        <f t="shared" si="1"/>
        <v>0.03</v>
      </c>
      <c r="Q24" s="37">
        <f t="shared" si="1"/>
        <v>0.03</v>
      </c>
      <c r="R24" s="37">
        <f t="shared" si="1"/>
        <v>0.03</v>
      </c>
      <c r="S24" s="37">
        <f t="shared" si="1"/>
        <v>0.03</v>
      </c>
      <c r="T24" s="37">
        <f t="shared" si="1"/>
        <v>0.03</v>
      </c>
      <c r="U24" s="37">
        <f t="shared" si="1"/>
        <v>0.03</v>
      </c>
      <c r="V24" s="37">
        <f t="shared" si="1"/>
        <v>0.03</v>
      </c>
      <c r="W24" s="37">
        <f t="shared" si="1"/>
        <v>0.03</v>
      </c>
      <c r="X24" s="37">
        <f t="shared" si="1"/>
        <v>0.03</v>
      </c>
      <c r="Y24" s="37">
        <f t="shared" si="1"/>
        <v>0.03</v>
      </c>
      <c r="Z24" s="37">
        <f t="shared" si="1"/>
        <v>0.03</v>
      </c>
      <c r="AA24" s="37">
        <f t="shared" si="1"/>
        <v>0.03</v>
      </c>
      <c r="AB24" s="37">
        <f t="shared" si="1"/>
        <v>0.03</v>
      </c>
      <c r="AC24" s="37">
        <f t="shared" si="1"/>
        <v>0.03</v>
      </c>
      <c r="AD24" s="37">
        <f t="shared" si="1"/>
        <v>0.03</v>
      </c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2:66" x14ac:dyDescent="0.35">
      <c r="B25" s="17"/>
      <c r="C25" s="12"/>
      <c r="D25" s="12"/>
      <c r="E25" s="12"/>
      <c r="F25" s="12"/>
    </row>
    <row r="26" spans="2:66" x14ac:dyDescent="0.35">
      <c r="B26" s="17" t="s">
        <v>120</v>
      </c>
      <c r="C26" s="17" t="s">
        <v>113</v>
      </c>
      <c r="D26" s="7"/>
      <c r="E26" s="7"/>
      <c r="F26" s="37">
        <f>IF(ISNUMBER('Control Sheet'!$F16),'Control Sheet'!$F16, _xll.RiskNormalAlt(5%,'Control Sheet'!$D16,95%,'Control Sheet'!$E16))</f>
        <v>7.4999999999999997E-3</v>
      </c>
      <c r="G26" s="131">
        <v>0.01</v>
      </c>
      <c r="H26" s="131">
        <v>0.01</v>
      </c>
      <c r="I26" s="131">
        <v>0.01</v>
      </c>
      <c r="J26" s="131">
        <v>0.01</v>
      </c>
      <c r="K26" s="131">
        <v>0.01</v>
      </c>
      <c r="L26" s="131">
        <v>0.01</v>
      </c>
      <c r="M26" s="22">
        <f>IF(M2&gt;$F$27,0,$F$26)</f>
        <v>7.4999999999999997E-3</v>
      </c>
      <c r="N26" s="22">
        <f t="shared" ref="N26:AD26" si="2">IF(N2&gt;$F$27,0,$F$26)</f>
        <v>7.4999999999999997E-3</v>
      </c>
      <c r="O26" s="22">
        <f t="shared" si="2"/>
        <v>7.4999999999999997E-3</v>
      </c>
      <c r="P26" s="22">
        <f t="shared" si="2"/>
        <v>7.4999999999999997E-3</v>
      </c>
      <c r="Q26" s="22">
        <f t="shared" si="2"/>
        <v>7.4999999999999997E-3</v>
      </c>
      <c r="R26" s="22">
        <f t="shared" si="2"/>
        <v>7.4999999999999997E-3</v>
      </c>
      <c r="S26" s="22">
        <f t="shared" si="2"/>
        <v>7.4999999999999997E-3</v>
      </c>
      <c r="T26" s="22">
        <f t="shared" si="2"/>
        <v>7.4999999999999997E-3</v>
      </c>
      <c r="U26" s="22">
        <f t="shared" si="2"/>
        <v>7.4999999999999997E-3</v>
      </c>
      <c r="V26" s="22">
        <f t="shared" si="2"/>
        <v>7.4999999999999997E-3</v>
      </c>
      <c r="W26" s="22">
        <f t="shared" si="2"/>
        <v>7.4999999999999997E-3</v>
      </c>
      <c r="X26" s="22">
        <f t="shared" si="2"/>
        <v>7.4999999999999997E-3</v>
      </c>
      <c r="Y26" s="22">
        <f t="shared" si="2"/>
        <v>7.4999999999999997E-3</v>
      </c>
      <c r="Z26" s="22">
        <f t="shared" si="2"/>
        <v>7.4999999999999997E-3</v>
      </c>
      <c r="AA26" s="22">
        <f t="shared" si="2"/>
        <v>7.4999999999999997E-3</v>
      </c>
      <c r="AB26" s="22">
        <f t="shared" si="2"/>
        <v>7.4999999999999997E-3</v>
      </c>
      <c r="AC26" s="22">
        <f t="shared" si="2"/>
        <v>7.4999999999999997E-3</v>
      </c>
      <c r="AD26" s="22">
        <f t="shared" si="2"/>
        <v>7.4999999999999997E-3</v>
      </c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2:66" x14ac:dyDescent="0.35">
      <c r="B27" s="17" t="s">
        <v>117</v>
      </c>
      <c r="C27" s="17" t="s">
        <v>114</v>
      </c>
      <c r="D27" s="7"/>
      <c r="E27" s="7"/>
      <c r="F27" s="34">
        <f>IF(AND(ISNUMBER('Control Sheet'!$F17),'Control Sheet'!$F17&lt;&gt;0),'Control Sheet'!$F17,_xll.RiskIntUniform('Control Sheet'!D17,'Control Sheet'!E17))</f>
        <v>30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2:66" x14ac:dyDescent="0.35">
      <c r="B28" s="17"/>
      <c r="C28" s="12"/>
      <c r="D28" s="12"/>
      <c r="E28" s="12"/>
      <c r="F28" s="12"/>
    </row>
    <row r="29" spans="2:66" x14ac:dyDescent="0.35">
      <c r="B29" s="17" t="s">
        <v>119</v>
      </c>
      <c r="C29" s="12"/>
      <c r="D29" s="12"/>
      <c r="E29" s="12"/>
      <c r="G29" s="36" t="e">
        <f ca="1">IF(ISNUMBER('Control Sheet'!$F18),'Control Sheet'!$F18, _xll.RiskTriang('Control Sheet'!$D$18,0,'Control Sheet'!$E$18))</f>
        <v>#NAME?</v>
      </c>
      <c r="H29" s="36" t="e">
        <f ca="1">IF(ISNUMBER('Control Sheet'!$F18),'Control Sheet'!$F18, _xll.RiskTriang('Control Sheet'!$D$18,0,'Control Sheet'!$E$18))</f>
        <v>#NAME?</v>
      </c>
      <c r="I29" s="36" t="e">
        <f ca="1">IF(ISNUMBER('Control Sheet'!$F18),'Control Sheet'!$F18, _xll.RiskTriang('Control Sheet'!$D$18,0,'Control Sheet'!$E$18))</f>
        <v>#NAME?</v>
      </c>
      <c r="J29" s="36" t="e">
        <f ca="1">IF(ISNUMBER('Control Sheet'!$F18),'Control Sheet'!$F18, _xll.RiskTriang('Control Sheet'!$D$18,0,'Control Sheet'!$E$18))</f>
        <v>#NAME?</v>
      </c>
      <c r="K29" s="36" t="e">
        <f ca="1">IF(ISNUMBER('Control Sheet'!$F18),'Control Sheet'!$F18, _xll.RiskTriang('Control Sheet'!$D$18,0,'Control Sheet'!$E$18))</f>
        <v>#NAME?</v>
      </c>
      <c r="L29" s="36" t="e">
        <f ca="1">IF(ISNUMBER('Control Sheet'!$F18),'Control Sheet'!$F18, _xll.RiskTriang('Control Sheet'!$D$18,0,'Control Sheet'!$E$18))</f>
        <v>#NAME?</v>
      </c>
      <c r="M29" s="36" t="e">
        <f ca="1">IF(ISNUMBER('Control Sheet'!$F18),'Control Sheet'!$F18, _xll.RiskTriang('Control Sheet'!$D$18,0,'Control Sheet'!$E$18))</f>
        <v>#NAME?</v>
      </c>
      <c r="N29" s="36" t="e">
        <f ca="1">IF(ISNUMBER('Control Sheet'!$F18),'Control Sheet'!$F18, _xll.RiskTriang('Control Sheet'!$D$18,0,'Control Sheet'!$E$18))</f>
        <v>#NAME?</v>
      </c>
      <c r="O29" s="36" t="e">
        <f ca="1">IF(ISNUMBER('Control Sheet'!$F18),'Control Sheet'!$F18, _xll.RiskTriang('Control Sheet'!$D$18,0,'Control Sheet'!$E$18))</f>
        <v>#NAME?</v>
      </c>
      <c r="P29" s="36" t="e">
        <f ca="1">IF(ISNUMBER('Control Sheet'!$F18),'Control Sheet'!$F18, _xll.RiskTriang('Control Sheet'!$D$18,0,'Control Sheet'!$E$18))</f>
        <v>#NAME?</v>
      </c>
      <c r="Q29" s="36" t="e">
        <f ca="1">IF(ISNUMBER('Control Sheet'!$F18),'Control Sheet'!$F18, _xll.RiskTriang('Control Sheet'!$D$18,0,'Control Sheet'!$E$18))</f>
        <v>#NAME?</v>
      </c>
      <c r="R29" s="36" t="e">
        <f ca="1">IF(ISNUMBER('Control Sheet'!$F18),'Control Sheet'!$F18, _xll.RiskTriang('Control Sheet'!$D$18,0,'Control Sheet'!$E$18))</f>
        <v>#NAME?</v>
      </c>
      <c r="S29" s="36" t="e">
        <f ca="1">IF(ISNUMBER('Control Sheet'!$F18),'Control Sheet'!$F18, _xll.RiskTriang('Control Sheet'!$D$18,0,'Control Sheet'!$E$18))</f>
        <v>#NAME?</v>
      </c>
      <c r="T29" s="36" t="e">
        <f ca="1">IF(ISNUMBER('Control Sheet'!$F18),'Control Sheet'!$F18, _xll.RiskTriang('Control Sheet'!$D$18,0,'Control Sheet'!$E$18))</f>
        <v>#NAME?</v>
      </c>
      <c r="U29" s="36" t="e">
        <f ca="1">IF(ISNUMBER('Control Sheet'!$F18),'Control Sheet'!$F18, _xll.RiskTriang('Control Sheet'!$D$18,0,'Control Sheet'!$E$18))</f>
        <v>#NAME?</v>
      </c>
      <c r="V29" s="36" t="e">
        <f ca="1">IF(ISNUMBER('Control Sheet'!$F18),'Control Sheet'!$F18, _xll.RiskTriang('Control Sheet'!$D$18,0,'Control Sheet'!$E$18))</f>
        <v>#NAME?</v>
      </c>
      <c r="W29" s="36" t="e">
        <f ca="1">IF(ISNUMBER('Control Sheet'!$F18),'Control Sheet'!$F18, _xll.RiskTriang('Control Sheet'!$D$18,0,'Control Sheet'!$E$18))</f>
        <v>#NAME?</v>
      </c>
      <c r="X29" s="36" t="e">
        <f ca="1">IF(ISNUMBER('Control Sheet'!$F18),'Control Sheet'!$F18, _xll.RiskTriang('Control Sheet'!$D$18,0,'Control Sheet'!$E$18))</f>
        <v>#NAME?</v>
      </c>
      <c r="Y29" s="36" t="e">
        <f ca="1">IF(ISNUMBER('Control Sheet'!$F18),'Control Sheet'!$F18, _xll.RiskTriang('Control Sheet'!$D$18,0,'Control Sheet'!$E$18))</f>
        <v>#NAME?</v>
      </c>
      <c r="Z29" s="36" t="e">
        <f ca="1">IF(ISNUMBER('Control Sheet'!$F18),'Control Sheet'!$F18, _xll.RiskTriang('Control Sheet'!$D$18,0,'Control Sheet'!$E$18))</f>
        <v>#NAME?</v>
      </c>
      <c r="AA29" s="36" t="e">
        <f ca="1">IF(ISNUMBER('Control Sheet'!$F18),'Control Sheet'!$F18, _xll.RiskTriang('Control Sheet'!$D$18,0,'Control Sheet'!$E$18))</f>
        <v>#NAME?</v>
      </c>
      <c r="AB29" s="36" t="e">
        <f ca="1">IF(ISNUMBER('Control Sheet'!$F18),'Control Sheet'!$F18, _xll.RiskTriang('Control Sheet'!$D$18,0,'Control Sheet'!$E$18))</f>
        <v>#NAME?</v>
      </c>
      <c r="AC29" s="36" t="e">
        <f ca="1">IF(ISNUMBER('Control Sheet'!$F18),'Control Sheet'!$F18, _xll.RiskTriang('Control Sheet'!$D$18,0,'Control Sheet'!$E$18))</f>
        <v>#NAME?</v>
      </c>
      <c r="AD29" s="36" t="e">
        <f ca="1">IF(ISNUMBER('Control Sheet'!$F18),'Control Sheet'!$F18, _xll.RiskTriang('Control Sheet'!$D$18,0,'Control Sheet'!$E$18))</f>
        <v>#NAME?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</row>
    <row r="30" spans="2:66" x14ac:dyDescent="0.35">
      <c r="B30" s="17"/>
      <c r="C30" s="17"/>
    </row>
    <row r="31" spans="2:66" x14ac:dyDescent="0.35">
      <c r="B31" s="38" t="s">
        <v>13</v>
      </c>
      <c r="C31" s="38" t="s">
        <v>228</v>
      </c>
      <c r="D31" s="39"/>
      <c r="E31" s="39"/>
      <c r="F31" s="40">
        <f>IF(ISNUMBER('Control Sheet'!$F24),'Control Sheet'!$F24, _xll.RiskNormalAlt(5%,'Control Sheet'!$D24,95%,'Control Sheet'!$E24))</f>
        <v>1.4999999999999999E-2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</row>
    <row r="32" spans="2:66" x14ac:dyDescent="0.35">
      <c r="C32" s="38"/>
      <c r="D32" s="39"/>
      <c r="E32" s="39"/>
    </row>
    <row r="33" spans="1:66" x14ac:dyDescent="0.35">
      <c r="B33" s="3" t="s">
        <v>14</v>
      </c>
      <c r="C33" s="38" t="s">
        <v>228</v>
      </c>
      <c r="D33" s="39"/>
      <c r="E33" s="39"/>
      <c r="F33" s="40" t="e">
        <f ca="1">IF(ISNUMBER('Control Sheet'!$F25),'Control Sheet'!$F25+'Control Sheet'!F13, _xll.RiskNormalAlt(5%,'Control Sheet'!$D25+'Control Sheet'!F13,95%,'Control Sheet'!$E25+'Control Sheet'!F13))</f>
        <v>#NAME?</v>
      </c>
    </row>
    <row r="34" spans="1:66" ht="15" customHeight="1" x14ac:dyDescent="0.35">
      <c r="C34" s="17"/>
    </row>
    <row r="35" spans="1:66" x14ac:dyDescent="0.35">
      <c r="B35" s="42" t="s">
        <v>123</v>
      </c>
      <c r="C35" s="17" t="s">
        <v>125</v>
      </c>
      <c r="D35" s="7"/>
      <c r="E35" s="7"/>
      <c r="F35" s="6">
        <f>'Supplementary inputs'!F6</f>
        <v>1.0742109164162381</v>
      </c>
      <c r="G35" s="6">
        <f t="shared" ref="G35:AD35" si="3">F35*(1+G20)</f>
        <v>1.0956951347445629</v>
      </c>
      <c r="H35" s="6">
        <f t="shared" si="3"/>
        <v>1.1176090374394543</v>
      </c>
      <c r="I35" s="6">
        <f t="shared" si="3"/>
        <v>1.1399612181882435</v>
      </c>
      <c r="J35" s="6">
        <f t="shared" si="3"/>
        <v>1.1627604425520084</v>
      </c>
      <c r="K35" s="6">
        <f t="shared" si="3"/>
        <v>1.1860156514030487</v>
      </c>
      <c r="L35" s="15">
        <f t="shared" si="3"/>
        <v>1.2097359644311096</v>
      </c>
      <c r="M35" s="6">
        <f t="shared" si="3"/>
        <v>1.2339306837197319</v>
      </c>
      <c r="N35" s="6">
        <f t="shared" si="3"/>
        <v>1.2586092973941265</v>
      </c>
      <c r="O35" s="6">
        <f t="shared" si="3"/>
        <v>1.2837814833420091</v>
      </c>
      <c r="P35" s="6">
        <f t="shared" si="3"/>
        <v>1.3094571130088493</v>
      </c>
      <c r="Q35" s="6">
        <f t="shared" si="3"/>
        <v>1.3356462552690263</v>
      </c>
      <c r="R35" s="6">
        <f t="shared" si="3"/>
        <v>1.3623591803744068</v>
      </c>
      <c r="S35" s="6">
        <f t="shared" si="3"/>
        <v>1.389606363981895</v>
      </c>
      <c r="T35" s="6">
        <f t="shared" si="3"/>
        <v>1.4173984912615329</v>
      </c>
      <c r="U35" s="6">
        <f t="shared" si="3"/>
        <v>1.4457464610867636</v>
      </c>
      <c r="V35" s="6">
        <f t="shared" si="3"/>
        <v>1.4746613903084989</v>
      </c>
      <c r="W35" s="6">
        <f t="shared" si="3"/>
        <v>1.5041546181146688</v>
      </c>
      <c r="X35" s="6">
        <f t="shared" si="3"/>
        <v>1.5342377104769622</v>
      </c>
      <c r="Y35" s="6">
        <f t="shared" si="3"/>
        <v>1.5649224646865014</v>
      </c>
      <c r="Z35" s="6">
        <f t="shared" si="3"/>
        <v>1.5962209139802315</v>
      </c>
      <c r="AA35" s="6">
        <f t="shared" si="3"/>
        <v>1.628145332259836</v>
      </c>
      <c r="AB35" s="6">
        <f t="shared" si="3"/>
        <v>1.6607082389050327</v>
      </c>
      <c r="AC35" s="6">
        <f t="shared" si="3"/>
        <v>1.6939224036831333</v>
      </c>
      <c r="AD35" s="6">
        <f t="shared" si="3"/>
        <v>1.727800851756796</v>
      </c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x14ac:dyDescent="0.35">
      <c r="C36" s="17"/>
      <c r="D36" s="7"/>
      <c r="E36" s="7"/>
    </row>
    <row r="37" spans="1:66" x14ac:dyDescent="0.35">
      <c r="B37" s="3" t="s">
        <v>124</v>
      </c>
      <c r="C37" s="17" t="s">
        <v>125</v>
      </c>
      <c r="D37" s="7"/>
      <c r="E37" s="7"/>
      <c r="F37" s="3">
        <v>1</v>
      </c>
      <c r="G37" s="6">
        <f t="shared" ref="G37:AD37" si="4">F37*(1-G26)</f>
        <v>0.99</v>
      </c>
      <c r="H37" s="6">
        <f t="shared" si="4"/>
        <v>0.98009999999999997</v>
      </c>
      <c r="I37" s="6">
        <f t="shared" si="4"/>
        <v>0.97029899999999991</v>
      </c>
      <c r="J37" s="6">
        <f t="shared" si="4"/>
        <v>0.96059600999999994</v>
      </c>
      <c r="K37" s="6">
        <f t="shared" si="4"/>
        <v>0.95099004989999991</v>
      </c>
      <c r="L37" s="6">
        <f t="shared" si="4"/>
        <v>0.94148014940099989</v>
      </c>
      <c r="M37" s="6">
        <f t="shared" si="4"/>
        <v>0.93441904828049238</v>
      </c>
      <c r="N37" s="6">
        <f t="shared" si="4"/>
        <v>0.92741090541838878</v>
      </c>
      <c r="O37" s="6">
        <f t="shared" si="4"/>
        <v>0.92045532362775095</v>
      </c>
      <c r="P37" s="6">
        <f t="shared" si="4"/>
        <v>0.91355190870054281</v>
      </c>
      <c r="Q37" s="6">
        <f t="shared" si="4"/>
        <v>0.9067002693852888</v>
      </c>
      <c r="R37" s="6">
        <f t="shared" si="4"/>
        <v>0.89990001736489922</v>
      </c>
      <c r="S37" s="6">
        <f t="shared" si="4"/>
        <v>0.89315076723466247</v>
      </c>
      <c r="T37" s="6">
        <f t="shared" si="4"/>
        <v>0.88645213648040255</v>
      </c>
      <c r="U37" s="6">
        <f t="shared" si="4"/>
        <v>0.87980374545679962</v>
      </c>
      <c r="V37" s="6">
        <f t="shared" si="4"/>
        <v>0.87320521736587364</v>
      </c>
      <c r="W37" s="6">
        <f t="shared" si="4"/>
        <v>0.86665617823562968</v>
      </c>
      <c r="X37" s="6">
        <f t="shared" si="4"/>
        <v>0.86015625689886255</v>
      </c>
      <c r="Y37" s="6">
        <f t="shared" si="4"/>
        <v>0.85370508497212116</v>
      </c>
      <c r="Z37" s="6">
        <f t="shared" si="4"/>
        <v>0.84730229683483027</v>
      </c>
      <c r="AA37" s="6">
        <f t="shared" si="4"/>
        <v>0.84094752960856911</v>
      </c>
      <c r="AB37" s="6">
        <f t="shared" si="4"/>
        <v>0.83464042313650488</v>
      </c>
      <c r="AC37" s="6">
        <f t="shared" si="4"/>
        <v>0.82838061996298118</v>
      </c>
      <c r="AD37" s="6">
        <f t="shared" si="4"/>
        <v>0.82216776531325886</v>
      </c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5" customHeight="1" x14ac:dyDescent="0.35">
      <c r="C38" s="17"/>
    </row>
    <row r="39" spans="1:66" ht="15.5" x14ac:dyDescent="0.35">
      <c r="A39" s="30" t="s">
        <v>136</v>
      </c>
      <c r="C39" s="17"/>
      <c r="F39" s="32" t="s">
        <v>42</v>
      </c>
      <c r="G39" s="32" t="s">
        <v>16</v>
      </c>
      <c r="H39" s="32" t="s">
        <v>17</v>
      </c>
      <c r="I39" s="32" t="s">
        <v>18</v>
      </c>
      <c r="J39" s="32" t="s">
        <v>19</v>
      </c>
      <c r="K39" s="32" t="s">
        <v>20</v>
      </c>
      <c r="L39" s="41" t="s">
        <v>21</v>
      </c>
      <c r="M39" s="32" t="s">
        <v>22</v>
      </c>
      <c r="N39" s="32" t="s">
        <v>23</v>
      </c>
      <c r="O39" s="32" t="s">
        <v>24</v>
      </c>
      <c r="P39" s="32" t="s">
        <v>25</v>
      </c>
      <c r="Q39" s="32" t="s">
        <v>26</v>
      </c>
      <c r="R39" s="41" t="s">
        <v>27</v>
      </c>
      <c r="S39" s="32" t="s">
        <v>28</v>
      </c>
      <c r="T39" s="32" t="s">
        <v>29</v>
      </c>
      <c r="U39" s="32" t="s">
        <v>30</v>
      </c>
      <c r="V39" s="32" t="s">
        <v>31</v>
      </c>
      <c r="W39" s="32" t="s">
        <v>32</v>
      </c>
      <c r="X39" s="41" t="s">
        <v>33</v>
      </c>
      <c r="Y39" s="32" t="s">
        <v>34</v>
      </c>
      <c r="Z39" s="32" t="s">
        <v>35</v>
      </c>
      <c r="AA39" s="32" t="s">
        <v>36</v>
      </c>
      <c r="AB39" s="32" t="s">
        <v>37</v>
      </c>
      <c r="AC39" s="32" t="s">
        <v>38</v>
      </c>
      <c r="AD39" s="41" t="s">
        <v>39</v>
      </c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</row>
    <row r="40" spans="1:66" x14ac:dyDescent="0.35">
      <c r="C40" s="17"/>
    </row>
    <row r="41" spans="1:66" x14ac:dyDescent="0.35">
      <c r="B41" s="4" t="s">
        <v>129</v>
      </c>
      <c r="C41" s="17"/>
    </row>
    <row r="42" spans="1:66" x14ac:dyDescent="0.35">
      <c r="C42" s="17"/>
    </row>
    <row r="43" spans="1:66" x14ac:dyDescent="0.35">
      <c r="B43" s="4" t="s">
        <v>43</v>
      </c>
      <c r="C43" s="17"/>
    </row>
    <row r="44" spans="1:66" x14ac:dyDescent="0.35">
      <c r="B44" s="12" t="s">
        <v>126</v>
      </c>
      <c r="C44" s="17" t="s">
        <v>115</v>
      </c>
      <c r="D44" s="7"/>
      <c r="E44" s="7"/>
      <c r="F44" s="18" t="e">
        <f ca="1">F9</f>
        <v>#NAME?</v>
      </c>
      <c r="G44" s="18" t="e">
        <f ca="1">F44*(1+G16)</f>
        <v>#NAME?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</row>
    <row r="45" spans="1:66" x14ac:dyDescent="0.35">
      <c r="B45" s="12" t="s">
        <v>231</v>
      </c>
      <c r="C45" s="17" t="s">
        <v>115</v>
      </c>
      <c r="D45" s="7"/>
      <c r="E45" s="7"/>
      <c r="F45" s="18"/>
      <c r="G45" s="18">
        <f>F10</f>
        <v>-14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</row>
    <row r="46" spans="1:66" x14ac:dyDescent="0.35">
      <c r="B46" s="12" t="s">
        <v>232</v>
      </c>
      <c r="C46" s="17" t="s">
        <v>115</v>
      </c>
      <c r="D46" s="7"/>
      <c r="E46" s="7"/>
      <c r="F46" s="18" t="e">
        <f ca="1">SUM(F44:F45)</f>
        <v>#NAME?</v>
      </c>
      <c r="G46" s="18" t="e">
        <f ca="1">SUM(G44:G45)</f>
        <v>#NAME?</v>
      </c>
      <c r="H46" s="18" t="e">
        <f t="shared" ref="H46:AD46" ca="1" si="5">G46*(1+H16)</f>
        <v>#NAME?</v>
      </c>
      <c r="I46" s="18" t="e">
        <f t="shared" ca="1" si="5"/>
        <v>#NAME?</v>
      </c>
      <c r="J46" s="18" t="e">
        <f t="shared" ca="1" si="5"/>
        <v>#NAME?</v>
      </c>
      <c r="K46" s="18" t="e">
        <f t="shared" ca="1" si="5"/>
        <v>#NAME?</v>
      </c>
      <c r="L46" s="18" t="e">
        <f t="shared" ca="1" si="5"/>
        <v>#NAME?</v>
      </c>
      <c r="M46" s="18" t="e">
        <f t="shared" ca="1" si="5"/>
        <v>#NAME?</v>
      </c>
      <c r="N46" s="18" t="e">
        <f t="shared" ca="1" si="5"/>
        <v>#NAME?</v>
      </c>
      <c r="O46" s="18" t="e">
        <f t="shared" ca="1" si="5"/>
        <v>#NAME?</v>
      </c>
      <c r="P46" s="18" t="e">
        <f t="shared" ca="1" si="5"/>
        <v>#NAME?</v>
      </c>
      <c r="Q46" s="18" t="e">
        <f t="shared" ca="1" si="5"/>
        <v>#NAME?</v>
      </c>
      <c r="R46" s="18" t="e">
        <f t="shared" ca="1" si="5"/>
        <v>#NAME?</v>
      </c>
      <c r="S46" s="18" t="e">
        <f t="shared" ca="1" si="5"/>
        <v>#NAME?</v>
      </c>
      <c r="T46" s="18" t="e">
        <f t="shared" ca="1" si="5"/>
        <v>#NAME?</v>
      </c>
      <c r="U46" s="18" t="e">
        <f t="shared" ca="1" si="5"/>
        <v>#NAME?</v>
      </c>
      <c r="V46" s="18" t="e">
        <f t="shared" ca="1" si="5"/>
        <v>#NAME?</v>
      </c>
      <c r="W46" s="18" t="e">
        <f t="shared" ca="1" si="5"/>
        <v>#NAME?</v>
      </c>
      <c r="X46" s="18" t="e">
        <f t="shared" ca="1" si="5"/>
        <v>#NAME?</v>
      </c>
      <c r="Y46" s="18" t="e">
        <f t="shared" ca="1" si="5"/>
        <v>#NAME?</v>
      </c>
      <c r="Z46" s="18" t="e">
        <f t="shared" ca="1" si="5"/>
        <v>#NAME?</v>
      </c>
      <c r="AA46" s="18" t="e">
        <f t="shared" ca="1" si="5"/>
        <v>#NAME?</v>
      </c>
      <c r="AB46" s="18" t="e">
        <f t="shared" ca="1" si="5"/>
        <v>#NAME?</v>
      </c>
      <c r="AC46" s="18" t="e">
        <f t="shared" ca="1" si="5"/>
        <v>#NAME?</v>
      </c>
      <c r="AD46" s="18" t="e">
        <f t="shared" ca="1" si="5"/>
        <v>#NAME?</v>
      </c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</row>
    <row r="47" spans="1:66" x14ac:dyDescent="0.35">
      <c r="B47" s="12" t="s">
        <v>127</v>
      </c>
      <c r="C47" s="17" t="s">
        <v>115</v>
      </c>
      <c r="D47" s="7"/>
      <c r="E47" s="7"/>
      <c r="F47" s="18" t="e">
        <f ca="1">F11</f>
        <v>#NAME?</v>
      </c>
      <c r="G47" s="18" t="e">
        <f ca="1">F47*(1+G17)</f>
        <v>#NAME?</v>
      </c>
      <c r="H47" s="18" t="e">
        <f t="shared" ref="H47:AD47" ca="1" si="6">G47*(1+H17)</f>
        <v>#NAME?</v>
      </c>
      <c r="I47" s="18" t="e">
        <f t="shared" ca="1" si="6"/>
        <v>#NAME?</v>
      </c>
      <c r="J47" s="18" t="e">
        <f t="shared" ca="1" si="6"/>
        <v>#NAME?</v>
      </c>
      <c r="K47" s="18" t="e">
        <f t="shared" ca="1" si="6"/>
        <v>#NAME?</v>
      </c>
      <c r="L47" s="18" t="e">
        <f t="shared" ca="1" si="6"/>
        <v>#NAME?</v>
      </c>
      <c r="M47" s="18" t="e">
        <f t="shared" ca="1" si="6"/>
        <v>#NAME?</v>
      </c>
      <c r="N47" s="18" t="e">
        <f t="shared" ca="1" si="6"/>
        <v>#NAME?</v>
      </c>
      <c r="O47" s="18" t="e">
        <f t="shared" ca="1" si="6"/>
        <v>#NAME?</v>
      </c>
      <c r="P47" s="18" t="e">
        <f t="shared" ca="1" si="6"/>
        <v>#NAME?</v>
      </c>
      <c r="Q47" s="18" t="e">
        <f t="shared" ca="1" si="6"/>
        <v>#NAME?</v>
      </c>
      <c r="R47" s="18" t="e">
        <f t="shared" ca="1" si="6"/>
        <v>#NAME?</v>
      </c>
      <c r="S47" s="18" t="e">
        <f t="shared" ca="1" si="6"/>
        <v>#NAME?</v>
      </c>
      <c r="T47" s="18" t="e">
        <f t="shared" ca="1" si="6"/>
        <v>#NAME?</v>
      </c>
      <c r="U47" s="18" t="e">
        <f t="shared" ca="1" si="6"/>
        <v>#NAME?</v>
      </c>
      <c r="V47" s="18" t="e">
        <f t="shared" ca="1" si="6"/>
        <v>#NAME?</v>
      </c>
      <c r="W47" s="18" t="e">
        <f t="shared" ca="1" si="6"/>
        <v>#NAME?</v>
      </c>
      <c r="X47" s="18" t="e">
        <f t="shared" ca="1" si="6"/>
        <v>#NAME?</v>
      </c>
      <c r="Y47" s="18" t="e">
        <f t="shared" ca="1" si="6"/>
        <v>#NAME?</v>
      </c>
      <c r="Z47" s="18" t="e">
        <f t="shared" ca="1" si="6"/>
        <v>#NAME?</v>
      </c>
      <c r="AA47" s="18" t="e">
        <f t="shared" ca="1" si="6"/>
        <v>#NAME?</v>
      </c>
      <c r="AB47" s="18" t="e">
        <f t="shared" ca="1" si="6"/>
        <v>#NAME?</v>
      </c>
      <c r="AC47" s="18" t="e">
        <f t="shared" ca="1" si="6"/>
        <v>#NAME?</v>
      </c>
      <c r="AD47" s="18" t="e">
        <f t="shared" ca="1" si="6"/>
        <v>#NAME?</v>
      </c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</row>
    <row r="48" spans="1:66" x14ac:dyDescent="0.35">
      <c r="B48" s="12" t="s">
        <v>128</v>
      </c>
      <c r="C48" s="17" t="s">
        <v>115</v>
      </c>
      <c r="D48" s="7"/>
      <c r="E48" s="7"/>
      <c r="F48" s="65">
        <f>'Supplementary inputs'!F12</f>
        <v>12</v>
      </c>
      <c r="G48" s="18" t="e">
        <f ca="1">F48*(1+G17)</f>
        <v>#NAME?</v>
      </c>
      <c r="H48" s="18" t="e">
        <f t="shared" ref="H48:AD48" ca="1" si="7">G48*(1+H17)</f>
        <v>#NAME?</v>
      </c>
      <c r="I48" s="18" t="e">
        <f t="shared" ca="1" si="7"/>
        <v>#NAME?</v>
      </c>
      <c r="J48" s="18" t="e">
        <f t="shared" ca="1" si="7"/>
        <v>#NAME?</v>
      </c>
      <c r="K48" s="18" t="e">
        <f t="shared" ca="1" si="7"/>
        <v>#NAME?</v>
      </c>
      <c r="L48" s="18" t="e">
        <f t="shared" ca="1" si="7"/>
        <v>#NAME?</v>
      </c>
      <c r="M48" s="18" t="e">
        <f t="shared" ca="1" si="7"/>
        <v>#NAME?</v>
      </c>
      <c r="N48" s="18" t="e">
        <f t="shared" ca="1" si="7"/>
        <v>#NAME?</v>
      </c>
      <c r="O48" s="18" t="e">
        <f t="shared" ca="1" si="7"/>
        <v>#NAME?</v>
      </c>
      <c r="P48" s="18" t="e">
        <f t="shared" ca="1" si="7"/>
        <v>#NAME?</v>
      </c>
      <c r="Q48" s="18" t="e">
        <f t="shared" ca="1" si="7"/>
        <v>#NAME?</v>
      </c>
      <c r="R48" s="18" t="e">
        <f t="shared" ca="1" si="7"/>
        <v>#NAME?</v>
      </c>
      <c r="S48" s="18" t="e">
        <f t="shared" ca="1" si="7"/>
        <v>#NAME?</v>
      </c>
      <c r="T48" s="18" t="e">
        <f t="shared" ca="1" si="7"/>
        <v>#NAME?</v>
      </c>
      <c r="U48" s="18" t="e">
        <f t="shared" ca="1" si="7"/>
        <v>#NAME?</v>
      </c>
      <c r="V48" s="18" t="e">
        <f t="shared" ca="1" si="7"/>
        <v>#NAME?</v>
      </c>
      <c r="W48" s="18" t="e">
        <f t="shared" ca="1" si="7"/>
        <v>#NAME?</v>
      </c>
      <c r="X48" s="18" t="e">
        <f t="shared" ca="1" si="7"/>
        <v>#NAME?</v>
      </c>
      <c r="Y48" s="18" t="e">
        <f t="shared" ca="1" si="7"/>
        <v>#NAME?</v>
      </c>
      <c r="Z48" s="18" t="e">
        <f t="shared" ca="1" si="7"/>
        <v>#NAME?</v>
      </c>
      <c r="AA48" s="18" t="e">
        <f t="shared" ca="1" si="7"/>
        <v>#NAME?</v>
      </c>
      <c r="AB48" s="18" t="e">
        <f t="shared" ca="1" si="7"/>
        <v>#NAME?</v>
      </c>
      <c r="AC48" s="18" t="e">
        <f t="shared" ca="1" si="7"/>
        <v>#NAME?</v>
      </c>
      <c r="AD48" s="18" t="e">
        <f t="shared" ca="1" si="7"/>
        <v>#NAME?</v>
      </c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</row>
    <row r="49" spans="2:66" x14ac:dyDescent="0.35">
      <c r="B49" s="9" t="s">
        <v>44</v>
      </c>
      <c r="C49" s="17" t="s">
        <v>115</v>
      </c>
      <c r="D49" s="7"/>
      <c r="E49" s="7"/>
      <c r="F49" s="43" t="e">
        <f ca="1">SUM(F46:F48)</f>
        <v>#NAME?</v>
      </c>
      <c r="G49" s="43" t="e">
        <f ca="1">SUM(G46:G48)</f>
        <v>#NAME?</v>
      </c>
      <c r="H49" s="43" t="e">
        <f t="shared" ref="H49:AD49" ca="1" si="8">SUM(H46:H48)</f>
        <v>#NAME?</v>
      </c>
      <c r="I49" s="43" t="e">
        <f t="shared" ca="1" si="8"/>
        <v>#NAME?</v>
      </c>
      <c r="J49" s="43" t="e">
        <f t="shared" ca="1" si="8"/>
        <v>#NAME?</v>
      </c>
      <c r="K49" s="43" t="e">
        <f t="shared" ca="1" si="8"/>
        <v>#NAME?</v>
      </c>
      <c r="L49" s="43" t="e">
        <f t="shared" ca="1" si="8"/>
        <v>#NAME?</v>
      </c>
      <c r="M49" s="43" t="e">
        <f t="shared" ca="1" si="8"/>
        <v>#NAME?</v>
      </c>
      <c r="N49" s="43" t="e">
        <f t="shared" ca="1" si="8"/>
        <v>#NAME?</v>
      </c>
      <c r="O49" s="43" t="e">
        <f t="shared" ca="1" si="8"/>
        <v>#NAME?</v>
      </c>
      <c r="P49" s="43" t="e">
        <f t="shared" ca="1" si="8"/>
        <v>#NAME?</v>
      </c>
      <c r="Q49" s="43" t="e">
        <f t="shared" ca="1" si="8"/>
        <v>#NAME?</v>
      </c>
      <c r="R49" s="43" t="e">
        <f t="shared" ca="1" si="8"/>
        <v>#NAME?</v>
      </c>
      <c r="S49" s="43" t="e">
        <f t="shared" ca="1" si="8"/>
        <v>#NAME?</v>
      </c>
      <c r="T49" s="43" t="e">
        <f t="shared" ca="1" si="8"/>
        <v>#NAME?</v>
      </c>
      <c r="U49" s="43" t="e">
        <f t="shared" ca="1" si="8"/>
        <v>#NAME?</v>
      </c>
      <c r="V49" s="43" t="e">
        <f t="shared" ca="1" si="8"/>
        <v>#NAME?</v>
      </c>
      <c r="W49" s="43" t="e">
        <f t="shared" ca="1" si="8"/>
        <v>#NAME?</v>
      </c>
      <c r="X49" s="43" t="e">
        <f t="shared" ca="1" si="8"/>
        <v>#NAME?</v>
      </c>
      <c r="Y49" s="43" t="e">
        <f t="shared" ca="1" si="8"/>
        <v>#NAME?</v>
      </c>
      <c r="Z49" s="43" t="e">
        <f t="shared" ca="1" si="8"/>
        <v>#NAME?</v>
      </c>
      <c r="AA49" s="43" t="e">
        <f t="shared" ca="1" si="8"/>
        <v>#NAME?</v>
      </c>
      <c r="AB49" s="43" t="e">
        <f t="shared" ca="1" si="8"/>
        <v>#NAME?</v>
      </c>
      <c r="AC49" s="43" t="e">
        <f t="shared" ca="1" si="8"/>
        <v>#NAME?</v>
      </c>
      <c r="AD49" s="43" t="e">
        <f t="shared" ca="1" si="8"/>
        <v>#NAME?</v>
      </c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</row>
    <row r="50" spans="2:66" x14ac:dyDescent="0.35">
      <c r="B50" s="12"/>
      <c r="C50" s="60"/>
      <c r="D50" s="18"/>
      <c r="E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>
        <v>1389.2576955165712</v>
      </c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2:66" x14ac:dyDescent="0.35">
      <c r="B51" s="17" t="s">
        <v>55</v>
      </c>
      <c r="C51" s="17" t="s">
        <v>115</v>
      </c>
      <c r="D51" s="7"/>
      <c r="E51" s="7"/>
      <c r="F51" s="27"/>
      <c r="G51" s="18">
        <f>'Supplementary inputs'!$F$13*G35</f>
        <v>17.640691669387465</v>
      </c>
      <c r="H51" s="18">
        <f>'Supplementary inputs'!$F$13*H35</f>
        <v>17.993505502775214</v>
      </c>
      <c r="I51" s="18">
        <f>'Supplementary inputs'!$F$13*I35</f>
        <v>18.353375612830721</v>
      </c>
      <c r="J51" s="18">
        <f>'Supplementary inputs'!$F$13*J35</f>
        <v>18.720443125087336</v>
      </c>
      <c r="K51" s="18">
        <f>'Supplementary inputs'!$F$13*K35</f>
        <v>19.094851987589085</v>
      </c>
      <c r="L51" s="18">
        <f>'Supplementary inputs'!$F$13*L35</f>
        <v>19.476749027340865</v>
      </c>
      <c r="M51" s="18">
        <f>'Supplementary inputs'!$F$13*M35</f>
        <v>19.866284007887685</v>
      </c>
      <c r="N51" s="18">
        <f>'Supplementary inputs'!$F$13*N35</f>
        <v>20.263609688045438</v>
      </c>
      <c r="O51" s="18">
        <f>'Supplementary inputs'!$F$13*O35</f>
        <v>20.66888188180635</v>
      </c>
      <c r="P51" s="18">
        <f>'Supplementary inputs'!$F$13*P35</f>
        <v>21.082259519442474</v>
      </c>
      <c r="Q51" s="18">
        <f>'Supplementary inputs'!$F$13*Q35</f>
        <v>21.503904709831325</v>
      </c>
      <c r="R51" s="18">
        <f>'Supplementary inputs'!$F$13*R35</f>
        <v>21.933982804027952</v>
      </c>
      <c r="S51" s="18">
        <f>'Supplementary inputs'!$F$13*S35</f>
        <v>22.372662460108511</v>
      </c>
      <c r="T51" s="18">
        <f>'Supplementary inputs'!$F$13*T35</f>
        <v>22.820115709310681</v>
      </c>
      <c r="U51" s="18">
        <f>'Supplementary inputs'!$F$13*U35</f>
        <v>23.276518023496898</v>
      </c>
      <c r="V51" s="18">
        <f>'Supplementary inputs'!$F$13*V35</f>
        <v>23.742048383966832</v>
      </c>
      <c r="W51" s="18">
        <f>'Supplementary inputs'!$F$13*W35</f>
        <v>24.21688935164617</v>
      </c>
      <c r="X51" s="18">
        <f>'Supplementary inputs'!$F$13*X35</f>
        <v>24.701227138679094</v>
      </c>
      <c r="Y51" s="18">
        <f>'Supplementary inputs'!$F$13*Y35</f>
        <v>25.195251681452675</v>
      </c>
      <c r="Z51" s="18">
        <f>'Supplementary inputs'!$F$13*Z35</f>
        <v>25.699156715081727</v>
      </c>
      <c r="AA51" s="18">
        <f>'Supplementary inputs'!$F$13*AA35</f>
        <v>26.213139849383364</v>
      </c>
      <c r="AB51" s="18">
        <f>'Supplementary inputs'!$F$13*AB35</f>
        <v>26.737402646371031</v>
      </c>
      <c r="AC51" s="18">
        <f>'Supplementary inputs'!$F$13*AC35</f>
        <v>27.27215069929845</v>
      </c>
      <c r="AD51" s="18">
        <f>'Supplementary inputs'!$F$13*AD35</f>
        <v>27.817593713284417</v>
      </c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</row>
    <row r="52" spans="2:66" x14ac:dyDescent="0.35">
      <c r="C52" s="60"/>
      <c r="D52" s="18"/>
      <c r="E52" s="18"/>
    </row>
    <row r="53" spans="2:66" x14ac:dyDescent="0.35">
      <c r="B53" s="17" t="str">
        <f>B22</f>
        <v xml:space="preserve">Annual borrowing (Hard-coded for SRC21): Final Principles of Charging </v>
      </c>
      <c r="C53" s="17" t="s">
        <v>115</v>
      </c>
      <c r="D53" s="7"/>
      <c r="E53" s="7"/>
      <c r="G53" s="18">
        <f t="shared" ref="G53:AD53" si="9">G22</f>
        <v>180</v>
      </c>
      <c r="H53" s="18" t="e">
        <f t="shared" ca="1" si="9"/>
        <v>#NAME?</v>
      </c>
      <c r="I53" s="18" t="e">
        <f t="shared" ca="1" si="9"/>
        <v>#NAME?</v>
      </c>
      <c r="J53" s="18" t="e">
        <f t="shared" ca="1" si="9"/>
        <v>#NAME?</v>
      </c>
      <c r="K53" s="18" t="e">
        <f t="shared" ca="1" si="9"/>
        <v>#NAME?</v>
      </c>
      <c r="L53" s="18" t="e">
        <f t="shared" ca="1" si="9"/>
        <v>#NAME?</v>
      </c>
      <c r="M53" s="18" t="e">
        <f t="shared" ca="1" si="9"/>
        <v>#NAME?</v>
      </c>
      <c r="N53" s="18" t="e">
        <f t="shared" ca="1" si="9"/>
        <v>#NAME?</v>
      </c>
      <c r="O53" s="18" t="e">
        <f t="shared" ca="1" si="9"/>
        <v>#NAME?</v>
      </c>
      <c r="P53" s="18" t="e">
        <f t="shared" ca="1" si="9"/>
        <v>#NAME?</v>
      </c>
      <c r="Q53" s="18" t="e">
        <f t="shared" ca="1" si="9"/>
        <v>#NAME?</v>
      </c>
      <c r="R53" s="18" t="e">
        <f t="shared" ca="1" si="9"/>
        <v>#NAME?</v>
      </c>
      <c r="S53" s="18" t="e">
        <f t="shared" ca="1" si="9"/>
        <v>#NAME?</v>
      </c>
      <c r="T53" s="18" t="e">
        <f t="shared" ca="1" si="9"/>
        <v>#NAME?</v>
      </c>
      <c r="U53" s="18" t="e">
        <f t="shared" ca="1" si="9"/>
        <v>#NAME?</v>
      </c>
      <c r="V53" s="18" t="e">
        <f t="shared" ca="1" si="9"/>
        <v>#NAME?</v>
      </c>
      <c r="W53" s="18" t="e">
        <f t="shared" ca="1" si="9"/>
        <v>#NAME?</v>
      </c>
      <c r="X53" s="18" t="e">
        <f t="shared" ca="1" si="9"/>
        <v>#NAME?</v>
      </c>
      <c r="Y53" s="18" t="e">
        <f t="shared" ca="1" si="9"/>
        <v>#NAME?</v>
      </c>
      <c r="Z53" s="18" t="e">
        <f t="shared" ca="1" si="9"/>
        <v>#NAME?</v>
      </c>
      <c r="AA53" s="18" t="e">
        <f t="shared" ca="1" si="9"/>
        <v>#NAME?</v>
      </c>
      <c r="AB53" s="18" t="e">
        <f t="shared" ca="1" si="9"/>
        <v>#NAME?</v>
      </c>
      <c r="AC53" s="18" t="e">
        <f t="shared" ca="1" si="9"/>
        <v>#NAME?</v>
      </c>
      <c r="AD53" s="18" t="e">
        <f t="shared" ca="1" si="9"/>
        <v>#NAME?</v>
      </c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</row>
    <row r="54" spans="2:66" x14ac:dyDescent="0.35">
      <c r="C54" s="60"/>
      <c r="D54" s="18"/>
      <c r="E54" s="18"/>
    </row>
    <row r="55" spans="2:66" ht="15" customHeight="1" x14ac:dyDescent="0.35">
      <c r="B55" s="4" t="s">
        <v>130</v>
      </c>
      <c r="C55" s="17"/>
      <c r="F55" s="18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2:66" x14ac:dyDescent="0.35">
      <c r="C56" s="17"/>
      <c r="F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</row>
    <row r="57" spans="2:66" x14ac:dyDescent="0.35">
      <c r="B57" s="44" t="s">
        <v>138</v>
      </c>
      <c r="C57" s="1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2:66" x14ac:dyDescent="0.35">
      <c r="B58" s="12" t="s">
        <v>131</v>
      </c>
      <c r="C58" s="17" t="s">
        <v>115</v>
      </c>
      <c r="D58" s="7"/>
      <c r="E58" s="7"/>
      <c r="F58" s="18"/>
      <c r="G58" s="18">
        <f>'Supplementary inputs'!$F16*G$35*G$37</f>
        <v>603.93158060359372</v>
      </c>
      <c r="H58" s="18">
        <f>'Supplementary inputs'!$F16*H$35*H$37</f>
        <v>609.85011009350887</v>
      </c>
      <c r="I58" s="18">
        <f>'Supplementary inputs'!$F16*I$35*I$37</f>
        <v>615.8266411724253</v>
      </c>
      <c r="J58" s="18">
        <f>'Supplementary inputs'!$F16*J$35*J$37</f>
        <v>621.86174225591503</v>
      </c>
      <c r="K58" s="18">
        <f>'Supplementary inputs'!$F16*K$35*K$37</f>
        <v>627.95598733002305</v>
      </c>
      <c r="L58" s="18">
        <f>'Supplementary inputs'!$F16*L$35*L$37</f>
        <v>634.10995600585738</v>
      </c>
      <c r="M58" s="18">
        <f>'Supplementary inputs'!$F16*M$35*M$37</f>
        <v>641.94121396252967</v>
      </c>
      <c r="N58" s="18">
        <f>'Supplementary inputs'!$F16*N$35*N$37</f>
        <v>649.86918795496706</v>
      </c>
      <c r="O58" s="18">
        <f>'Supplementary inputs'!$F16*O$35*O$37</f>
        <v>657.89507242621096</v>
      </c>
      <c r="P58" s="18">
        <f>'Supplementary inputs'!$F16*P$35*P$37</f>
        <v>666.02007657067463</v>
      </c>
      <c r="Q58" s="18">
        <f>'Supplementary inputs'!$F16*Q$35*Q$37</f>
        <v>674.24542451632249</v>
      </c>
      <c r="R58" s="18">
        <f>'Supplementary inputs'!$F16*R$35*R$37</f>
        <v>682.57235550909922</v>
      </c>
      <c r="S58" s="18">
        <f>'Supplementary inputs'!$F16*S$35*S$37</f>
        <v>691.00212409963649</v>
      </c>
      <c r="T58" s="18">
        <f>'Supplementary inputs'!$F16*T$35*T$37</f>
        <v>699.53600033226712</v>
      </c>
      <c r="U58" s="18">
        <f>'Supplementary inputs'!$F16*U$35*U$37</f>
        <v>708.17526993637068</v>
      </c>
      <c r="V58" s="18">
        <f>'Supplementary inputs'!$F16*V$35*V$37</f>
        <v>716.92123452008491</v>
      </c>
      <c r="W58" s="18">
        <f>'Supplementary inputs'!$F16*W$35*W$37</f>
        <v>725.77521176640789</v>
      </c>
      <c r="X58" s="18">
        <f>'Supplementary inputs'!$F16*X$35*X$37</f>
        <v>734.73853563172315</v>
      </c>
      <c r="Y58" s="18">
        <f>'Supplementary inputs'!$F16*Y$35*Y$37</f>
        <v>743.81255654677511</v>
      </c>
      <c r="Z58" s="18">
        <f>'Supplementary inputs'!$F16*Z$35*Z$37</f>
        <v>752.99864162012773</v>
      </c>
      <c r="AA58" s="18">
        <f>'Supplementary inputs'!$F16*AA$35*AA$37</f>
        <v>762.29817484413638</v>
      </c>
      <c r="AB58" s="18">
        <f>'Supplementary inputs'!$F16*AB$35*AB$37</f>
        <v>771.71255730346138</v>
      </c>
      <c r="AC58" s="18">
        <f>'Supplementary inputs'!$F16*AC$35*AC$37</f>
        <v>781.24320738615927</v>
      </c>
      <c r="AD58" s="18">
        <f>'Supplementary inputs'!$F16*AD$35*AD$37</f>
        <v>790.89156099737841</v>
      </c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</row>
    <row r="59" spans="2:66" x14ac:dyDescent="0.35">
      <c r="B59" s="12" t="s">
        <v>45</v>
      </c>
      <c r="C59" s="17" t="s">
        <v>115</v>
      </c>
      <c r="D59" s="7"/>
      <c r="E59" s="7"/>
      <c r="F59" s="18"/>
      <c r="G59" s="18">
        <f>'Supplementary inputs'!$F17*G$35*G$37</f>
        <v>184.40549117750993</v>
      </c>
      <c r="H59" s="18">
        <f>'Supplementary inputs'!$F17*H$35*H$37</f>
        <v>186.21266499104956</v>
      </c>
      <c r="I59" s="18">
        <f>'Supplementary inputs'!$F17*I$35*I$37</f>
        <v>188.03754910796184</v>
      </c>
      <c r="J59" s="18">
        <f>'Supplementary inputs'!$F17*J$35*J$37</f>
        <v>189.88031708921989</v>
      </c>
      <c r="K59" s="18">
        <f>'Supplementary inputs'!$F17*K$35*K$37</f>
        <v>191.74114419669425</v>
      </c>
      <c r="L59" s="18">
        <f>'Supplementary inputs'!$F17*L$35*L$37</f>
        <v>193.62020740982183</v>
      </c>
      <c r="M59" s="18">
        <f>'Supplementary inputs'!$F17*M$35*M$37</f>
        <v>196.01141697133318</v>
      </c>
      <c r="N59" s="18">
        <f>'Supplementary inputs'!$F17*N$35*N$37</f>
        <v>198.43215797092913</v>
      </c>
      <c r="O59" s="18">
        <f>'Supplementary inputs'!$F17*O$35*O$37</f>
        <v>200.88279512187015</v>
      </c>
      <c r="P59" s="18">
        <f>'Supplementary inputs'!$F17*P$35*P$37</f>
        <v>203.36369764162524</v>
      </c>
      <c r="Q59" s="18">
        <f>'Supplementary inputs'!$F17*Q$35*Q$37</f>
        <v>205.8752393074993</v>
      </c>
      <c r="R59" s="18">
        <f>'Supplementary inputs'!$F17*R$35*R$37</f>
        <v>208.41779851294694</v>
      </c>
      <c r="S59" s="18">
        <f>'Supplementary inputs'!$F17*S$35*S$37</f>
        <v>210.99175832458184</v>
      </c>
      <c r="T59" s="18">
        <f>'Supplementary inputs'!$F17*T$35*T$37</f>
        <v>213.59750653989045</v>
      </c>
      <c r="U59" s="18">
        <f>'Supplementary inputs'!$F17*U$35*U$37</f>
        <v>216.23543574565812</v>
      </c>
      <c r="V59" s="18">
        <f>'Supplementary inputs'!$F17*V$35*V$37</f>
        <v>218.90594337711701</v>
      </c>
      <c r="W59" s="18">
        <f>'Supplementary inputs'!$F17*W$35*W$37</f>
        <v>221.6094317778244</v>
      </c>
      <c r="X59" s="18">
        <f>'Supplementary inputs'!$F17*X$35*X$37</f>
        <v>224.34630826028058</v>
      </c>
      <c r="Y59" s="18">
        <f>'Supplementary inputs'!$F17*Y$35*Y$37</f>
        <v>227.11698516729504</v>
      </c>
      <c r="Z59" s="18">
        <f>'Supplementary inputs'!$F17*Z$35*Z$37</f>
        <v>229.92187993411119</v>
      </c>
      <c r="AA59" s="18">
        <f>'Supplementary inputs'!$F17*AA$35*AA$37</f>
        <v>232.76141515129746</v>
      </c>
      <c r="AB59" s="18">
        <f>'Supplementary inputs'!$F17*AB$35*AB$37</f>
        <v>235.63601862841597</v>
      </c>
      <c r="AC59" s="18">
        <f>'Supplementary inputs'!$F17*AC$35*AC$37</f>
        <v>238.54612345847693</v>
      </c>
      <c r="AD59" s="18">
        <f>'Supplementary inputs'!$F17*AD$35*AD$37</f>
        <v>241.49216808318911</v>
      </c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</row>
    <row r="60" spans="2:66" x14ac:dyDescent="0.35">
      <c r="B60" s="12" t="s">
        <v>132</v>
      </c>
      <c r="C60" s="17" t="s">
        <v>115</v>
      </c>
      <c r="D60" s="7"/>
      <c r="E60" s="7"/>
      <c r="F60" s="18"/>
      <c r="G60" s="18">
        <f>'Supplementary inputs'!$F18*G$35*G$37</f>
        <v>35.007404391147425</v>
      </c>
      <c r="H60" s="18">
        <f>'Supplementary inputs'!$F18*H$35*H$37</f>
        <v>35.350476954180671</v>
      </c>
      <c r="I60" s="18">
        <f>'Supplementary inputs'!$F18*I$35*I$37</f>
        <v>35.696911628331641</v>
      </c>
      <c r="J60" s="18">
        <f>'Supplementary inputs'!$F18*J$35*J$37</f>
        <v>36.046741362289296</v>
      </c>
      <c r="K60" s="18">
        <f>'Supplementary inputs'!$F18*K$35*K$37</f>
        <v>36.399999427639735</v>
      </c>
      <c r="L60" s="18">
        <f>'Supplementary inputs'!$F18*L$35*L$37</f>
        <v>36.756719422030599</v>
      </c>
      <c r="M60" s="18">
        <f>'Supplementary inputs'!$F18*M$35*M$37</f>
        <v>37.210664906892674</v>
      </c>
      <c r="N60" s="18">
        <f>'Supplementary inputs'!$F18*N$35*N$37</f>
        <v>37.670216618492809</v>
      </c>
      <c r="O60" s="18">
        <f>'Supplementary inputs'!$F18*O$35*O$37</f>
        <v>38.135443793731199</v>
      </c>
      <c r="P60" s="18">
        <f>'Supplementary inputs'!$F18*P$35*P$37</f>
        <v>38.606416524583778</v>
      </c>
      <c r="Q60" s="18">
        <f>'Supplementary inputs'!$F18*Q$35*Q$37</f>
        <v>39.083205768662388</v>
      </c>
      <c r="R60" s="18">
        <f>'Supplementary inputs'!$F18*R$35*R$37</f>
        <v>39.565883359905371</v>
      </c>
      <c r="S60" s="18">
        <f>'Supplementary inputs'!$F18*S$35*S$37</f>
        <v>40.054522019400203</v>
      </c>
      <c r="T60" s="18">
        <f>'Supplementary inputs'!$F18*T$35*T$37</f>
        <v>40.549195366339802</v>
      </c>
      <c r="U60" s="18">
        <f>'Supplementary inputs'!$F18*U$35*U$37</f>
        <v>41.0499779291141</v>
      </c>
      <c r="V60" s="18">
        <f>'Supplementary inputs'!$F18*V$35*V$37</f>
        <v>41.55694515653866</v>
      </c>
      <c r="W60" s="18">
        <f>'Supplementary inputs'!$F18*W$35*W$37</f>
        <v>42.070173429221924</v>
      </c>
      <c r="X60" s="18">
        <f>'Supplementary inputs'!$F18*X$35*X$37</f>
        <v>42.589740071072818</v>
      </c>
      <c r="Y60" s="18">
        <f>'Supplementary inputs'!$F18*Y$35*Y$37</f>
        <v>43.115723360950568</v>
      </c>
      <c r="Z60" s="18">
        <f>'Supplementary inputs'!$F18*Z$35*Z$37</f>
        <v>43.648202544458307</v>
      </c>
      <c r="AA60" s="18">
        <f>'Supplementary inputs'!$F18*AA$35*AA$37</f>
        <v>44.187257845882371</v>
      </c>
      <c r="AB60" s="18">
        <f>'Supplementary inputs'!$F18*AB$35*AB$37</f>
        <v>44.732970480279015</v>
      </c>
      <c r="AC60" s="18">
        <f>'Supplementary inputs'!$F18*AC$35*AC$37</f>
        <v>45.285422665710463</v>
      </c>
      <c r="AD60" s="18">
        <f>'Supplementary inputs'!$F18*AD$35*AD$37</f>
        <v>45.844697635631995</v>
      </c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</row>
    <row r="61" spans="2:66" x14ac:dyDescent="0.35">
      <c r="B61" s="12" t="s">
        <v>133</v>
      </c>
      <c r="C61" s="17" t="s">
        <v>115</v>
      </c>
      <c r="D61" s="7"/>
      <c r="E61" s="7"/>
      <c r="F61" s="18"/>
      <c r="G61" s="18">
        <f>'Supplementary inputs'!$F19*G$37</f>
        <v>148.5</v>
      </c>
      <c r="H61" s="18">
        <f>'Supplementary inputs'!$F19*H$37</f>
        <v>147.01499999999999</v>
      </c>
      <c r="I61" s="18">
        <f>'Supplementary inputs'!$F19*I$37</f>
        <v>145.54485</v>
      </c>
      <c r="J61" s="18">
        <f>'Supplementary inputs'!$F19*J$37</f>
        <v>144.08940149999998</v>
      </c>
      <c r="K61" s="18">
        <f>'Supplementary inputs'!$F19*K$37</f>
        <v>142.64850748499998</v>
      </c>
      <c r="L61" s="18">
        <f>'Supplementary inputs'!$F19*L$37</f>
        <v>141.22202241014998</v>
      </c>
      <c r="M61" s="18">
        <f>'Supplementary inputs'!$F19*M$37</f>
        <v>140.16285724207387</v>
      </c>
      <c r="N61" s="18">
        <f>'Supplementary inputs'!$F19*N$37</f>
        <v>139.11163581275832</v>
      </c>
      <c r="O61" s="18">
        <f>'Supplementary inputs'!$F19*O$37</f>
        <v>138.06829854416264</v>
      </c>
      <c r="P61" s="18">
        <f>'Supplementary inputs'!$F19*P$37</f>
        <v>137.03278630508143</v>
      </c>
      <c r="Q61" s="18">
        <f>'Supplementary inputs'!$F19*Q$37</f>
        <v>136.00504040779333</v>
      </c>
      <c r="R61" s="18">
        <f>'Supplementary inputs'!$F19*R$37</f>
        <v>134.98500260473489</v>
      </c>
      <c r="S61" s="18">
        <f>'Supplementary inputs'!$F19*S$37</f>
        <v>133.97261508519938</v>
      </c>
      <c r="T61" s="18">
        <f>'Supplementary inputs'!$F19*T$37</f>
        <v>132.9678204720604</v>
      </c>
      <c r="U61" s="18">
        <f>'Supplementary inputs'!$F19*U$37</f>
        <v>131.97056181851994</v>
      </c>
      <c r="V61" s="18">
        <f>'Supplementary inputs'!$F19*V$37</f>
        <v>130.98078260488106</v>
      </c>
      <c r="W61" s="18">
        <f>'Supplementary inputs'!$F19*W$37</f>
        <v>129.99842673534445</v>
      </c>
      <c r="X61" s="18">
        <f>'Supplementary inputs'!$F19*X$37</f>
        <v>129.02343853482938</v>
      </c>
      <c r="Y61" s="18">
        <f>'Supplementary inputs'!$F19*Y$37</f>
        <v>128.05576274581819</v>
      </c>
      <c r="Z61" s="18">
        <f>'Supplementary inputs'!$F19*Z$37</f>
        <v>127.09534452522455</v>
      </c>
      <c r="AA61" s="18">
        <f>'Supplementary inputs'!$F19*AA$37</f>
        <v>126.14212944128536</v>
      </c>
      <c r="AB61" s="18">
        <f>'Supplementary inputs'!$F19*AB$37</f>
        <v>125.19606347047574</v>
      </c>
      <c r="AC61" s="18">
        <f>'Supplementary inputs'!$F19*AC$37</f>
        <v>124.25709299444718</v>
      </c>
      <c r="AD61" s="18">
        <f>'Supplementary inputs'!$F19*AD$37</f>
        <v>123.32516479698883</v>
      </c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2:66" x14ac:dyDescent="0.35">
      <c r="B62" s="12" t="s">
        <v>46</v>
      </c>
      <c r="C62" s="17" t="s">
        <v>115</v>
      </c>
      <c r="D62" s="7"/>
      <c r="E62" s="7"/>
      <c r="G62" s="18">
        <f>G37*SUMPRODUCT($G$22:G22,$G$24:G24)</f>
        <v>5.3459999999999992</v>
      </c>
      <c r="H62" s="18" t="e">
        <f ca="1">H37*SUMPRODUCT($G$22:H22,$G$24:H24)</f>
        <v>#NAME?</v>
      </c>
      <c r="I62" s="18" t="e">
        <f ca="1">I37*SUMPRODUCT($G$22:I22,$G$24:I24)</f>
        <v>#NAME?</v>
      </c>
      <c r="J62" s="18" t="e">
        <f ca="1">J37*SUMPRODUCT($G$22:J22,$G$24:J24)</f>
        <v>#NAME?</v>
      </c>
      <c r="K62" s="18" t="e">
        <f ca="1">K37*SUMPRODUCT($G$22:K22,$G$24:K24)</f>
        <v>#NAME?</v>
      </c>
      <c r="L62" s="18" t="e">
        <f ca="1">L37*SUMPRODUCT($G$22:L22,$G$24:L24)</f>
        <v>#NAME?</v>
      </c>
      <c r="M62" s="18" t="e">
        <f ca="1">M37*SUMPRODUCT($G$22:M22,$G$24:M24)</f>
        <v>#NAME?</v>
      </c>
      <c r="N62" s="18" t="e">
        <f ca="1">N37*SUMPRODUCT($G$22:N22,$G$24:N24)</f>
        <v>#NAME?</v>
      </c>
      <c r="O62" s="18" t="e">
        <f ca="1">O37*SUMPRODUCT($G$22:O22,$G$24:O24)</f>
        <v>#NAME?</v>
      </c>
      <c r="P62" s="18" t="e">
        <f ca="1">P37*SUMPRODUCT($G$22:P22,$G$24:P24)</f>
        <v>#NAME?</v>
      </c>
      <c r="Q62" s="18" t="e">
        <f ca="1">Q37*SUMPRODUCT($G$22:Q22,$G$24:Q24)</f>
        <v>#NAME?</v>
      </c>
      <c r="R62" s="18" t="e">
        <f ca="1">R37*SUMPRODUCT($G$22:R22,$G$24:R24)</f>
        <v>#NAME?</v>
      </c>
      <c r="S62" s="18" t="e">
        <f ca="1">S37*SUMPRODUCT($G$22:S22,$G$24:S24)</f>
        <v>#NAME?</v>
      </c>
      <c r="T62" s="18" t="e">
        <f ca="1">T37*SUMPRODUCT($G$22:T22,$G$24:T24)</f>
        <v>#NAME?</v>
      </c>
      <c r="U62" s="18" t="e">
        <f ca="1">U37*SUMPRODUCT($G$22:U22,$G$24:U24)</f>
        <v>#NAME?</v>
      </c>
      <c r="V62" s="18" t="e">
        <f ca="1">V37*SUMPRODUCT($G$22:V22,$G$24:V24)</f>
        <v>#NAME?</v>
      </c>
      <c r="W62" s="18" t="e">
        <f ca="1">W37*SUMPRODUCT($G$22:W22,$G$24:W24)</f>
        <v>#NAME?</v>
      </c>
      <c r="X62" s="18" t="e">
        <f ca="1">X37*SUMPRODUCT($G$22:X22,$G$24:X24)</f>
        <v>#NAME?</v>
      </c>
      <c r="Y62" s="18" t="e">
        <f ca="1">Y37*SUMPRODUCT($G$22:Y22,$G$24:Y24)</f>
        <v>#NAME?</v>
      </c>
      <c r="Z62" s="18" t="e">
        <f ca="1">Z37*SUMPRODUCT($G$22:Z22,$G$24:Z24)</f>
        <v>#NAME?</v>
      </c>
      <c r="AA62" s="18" t="e">
        <f ca="1">AA37*SUMPRODUCT($G$22:AA22,$G$24:AA24)</f>
        <v>#NAME?</v>
      </c>
      <c r="AB62" s="18" t="e">
        <f ca="1">AB37*SUMPRODUCT($G$22:AB22,$G$24:AB24)</f>
        <v>#NAME?</v>
      </c>
      <c r="AC62" s="18" t="e">
        <f ca="1">AC37*SUMPRODUCT($G$22:AC22,$G$24:AC24)</f>
        <v>#NAME?</v>
      </c>
      <c r="AD62" s="18" t="e">
        <f ca="1">AD37*SUMPRODUCT($G$22:AD22,$G$24:AD24)</f>
        <v>#NAME?</v>
      </c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</row>
    <row r="63" spans="2:66" x14ac:dyDescent="0.35">
      <c r="B63" s="12" t="s">
        <v>139</v>
      </c>
      <c r="C63" s="17" t="s">
        <v>115</v>
      </c>
      <c r="D63" s="7"/>
      <c r="E63" s="7"/>
      <c r="G63" s="18" t="e">
        <f t="shared" ref="G63:AD63" ca="1" si="10">G29*G35</f>
        <v>#NAME?</v>
      </c>
      <c r="H63" s="18" t="e">
        <f t="shared" ca="1" si="10"/>
        <v>#NAME?</v>
      </c>
      <c r="I63" s="18" t="e">
        <f t="shared" ca="1" si="10"/>
        <v>#NAME?</v>
      </c>
      <c r="J63" s="18" t="e">
        <f t="shared" ca="1" si="10"/>
        <v>#NAME?</v>
      </c>
      <c r="K63" s="18" t="e">
        <f t="shared" ca="1" si="10"/>
        <v>#NAME?</v>
      </c>
      <c r="L63" s="18" t="e">
        <f t="shared" ca="1" si="10"/>
        <v>#NAME?</v>
      </c>
      <c r="M63" s="18" t="e">
        <f t="shared" ca="1" si="10"/>
        <v>#NAME?</v>
      </c>
      <c r="N63" s="18" t="e">
        <f t="shared" ca="1" si="10"/>
        <v>#NAME?</v>
      </c>
      <c r="O63" s="18" t="e">
        <f t="shared" ca="1" si="10"/>
        <v>#NAME?</v>
      </c>
      <c r="P63" s="18" t="e">
        <f t="shared" ca="1" si="10"/>
        <v>#NAME?</v>
      </c>
      <c r="Q63" s="18" t="e">
        <f t="shared" ca="1" si="10"/>
        <v>#NAME?</v>
      </c>
      <c r="R63" s="18" t="e">
        <f t="shared" ca="1" si="10"/>
        <v>#NAME?</v>
      </c>
      <c r="S63" s="18" t="e">
        <f t="shared" ca="1" si="10"/>
        <v>#NAME?</v>
      </c>
      <c r="T63" s="18" t="e">
        <f t="shared" ca="1" si="10"/>
        <v>#NAME?</v>
      </c>
      <c r="U63" s="18" t="e">
        <f t="shared" ca="1" si="10"/>
        <v>#NAME?</v>
      </c>
      <c r="V63" s="18" t="e">
        <f t="shared" ca="1" si="10"/>
        <v>#NAME?</v>
      </c>
      <c r="W63" s="18" t="e">
        <f t="shared" ca="1" si="10"/>
        <v>#NAME?</v>
      </c>
      <c r="X63" s="18" t="e">
        <f t="shared" ca="1" si="10"/>
        <v>#NAME?</v>
      </c>
      <c r="Y63" s="18" t="e">
        <f t="shared" ca="1" si="10"/>
        <v>#NAME?</v>
      </c>
      <c r="Z63" s="18" t="e">
        <f t="shared" ca="1" si="10"/>
        <v>#NAME?</v>
      </c>
      <c r="AA63" s="18" t="e">
        <f t="shared" ca="1" si="10"/>
        <v>#NAME?</v>
      </c>
      <c r="AB63" s="18" t="e">
        <f t="shared" ca="1" si="10"/>
        <v>#NAME?</v>
      </c>
      <c r="AC63" s="18" t="e">
        <f t="shared" ca="1" si="10"/>
        <v>#NAME?</v>
      </c>
      <c r="AD63" s="18" t="e">
        <f t="shared" ca="1" si="10"/>
        <v>#NAME?</v>
      </c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</row>
    <row r="64" spans="2:66" x14ac:dyDescent="0.35">
      <c r="B64" s="9" t="s">
        <v>44</v>
      </c>
      <c r="C64" s="17" t="s">
        <v>115</v>
      </c>
      <c r="D64" s="7"/>
      <c r="E64" s="7"/>
      <c r="G64" s="18" t="e">
        <f ca="1">SUM(G58:G63)</f>
        <v>#NAME?</v>
      </c>
      <c r="H64" s="18" t="e">
        <f ca="1">SUM(H58:H63)</f>
        <v>#NAME?</v>
      </c>
      <c r="I64" s="18" t="e">
        <f ca="1">SUM(I58:I63)</f>
        <v>#NAME?</v>
      </c>
      <c r="J64" s="18" t="e">
        <f t="shared" ref="J64:AD64" ca="1" si="11">SUM(J58:J63)</f>
        <v>#NAME?</v>
      </c>
      <c r="K64" s="18" t="e">
        <f t="shared" ca="1" si="11"/>
        <v>#NAME?</v>
      </c>
      <c r="L64" s="18" t="e">
        <f t="shared" ca="1" si="11"/>
        <v>#NAME?</v>
      </c>
      <c r="M64" s="18" t="e">
        <f t="shared" ca="1" si="11"/>
        <v>#NAME?</v>
      </c>
      <c r="N64" s="18" t="e">
        <f t="shared" ca="1" si="11"/>
        <v>#NAME?</v>
      </c>
      <c r="O64" s="18" t="e">
        <f t="shared" ca="1" si="11"/>
        <v>#NAME?</v>
      </c>
      <c r="P64" s="18" t="e">
        <f t="shared" ca="1" si="11"/>
        <v>#NAME?</v>
      </c>
      <c r="Q64" s="18" t="e">
        <f t="shared" ca="1" si="11"/>
        <v>#NAME?</v>
      </c>
      <c r="R64" s="18" t="e">
        <f t="shared" ca="1" si="11"/>
        <v>#NAME?</v>
      </c>
      <c r="S64" s="18" t="e">
        <f t="shared" ca="1" si="11"/>
        <v>#NAME?</v>
      </c>
      <c r="T64" s="18" t="e">
        <f t="shared" ca="1" si="11"/>
        <v>#NAME?</v>
      </c>
      <c r="U64" s="18" t="e">
        <f t="shared" ca="1" si="11"/>
        <v>#NAME?</v>
      </c>
      <c r="V64" s="18" t="e">
        <f t="shared" ca="1" si="11"/>
        <v>#NAME?</v>
      </c>
      <c r="W64" s="18" t="e">
        <f t="shared" ca="1" si="11"/>
        <v>#NAME?</v>
      </c>
      <c r="X64" s="18" t="e">
        <f t="shared" ca="1" si="11"/>
        <v>#NAME?</v>
      </c>
      <c r="Y64" s="18" t="e">
        <f t="shared" ca="1" si="11"/>
        <v>#NAME?</v>
      </c>
      <c r="Z64" s="18" t="e">
        <f t="shared" ca="1" si="11"/>
        <v>#NAME?</v>
      </c>
      <c r="AA64" s="18" t="e">
        <f t="shared" ca="1" si="11"/>
        <v>#NAME?</v>
      </c>
      <c r="AB64" s="18" t="e">
        <f t="shared" ca="1" si="11"/>
        <v>#NAME?</v>
      </c>
      <c r="AC64" s="18" t="e">
        <f t="shared" ca="1" si="11"/>
        <v>#NAME?</v>
      </c>
      <c r="AD64" s="18" t="e">
        <f t="shared" ca="1" si="11"/>
        <v>#NAME?</v>
      </c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</row>
    <row r="65" spans="2:66" x14ac:dyDescent="0.35">
      <c r="B65" s="12"/>
      <c r="C65" s="17"/>
      <c r="G65" s="6"/>
      <c r="H65" s="6"/>
      <c r="I65" s="6"/>
      <c r="J65" s="6"/>
      <c r="K65" s="6"/>
      <c r="L65" s="6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2:66" x14ac:dyDescent="0.35">
      <c r="B66" s="33" t="s">
        <v>140</v>
      </c>
      <c r="C66" s="17" t="s">
        <v>115</v>
      </c>
      <c r="D66" s="7"/>
      <c r="E66" s="7"/>
      <c r="G66" s="18">
        <f t="shared" ref="G66:AD66" si="12">$F$5*G35</f>
        <v>1369.6189184307036</v>
      </c>
      <c r="H66" s="18">
        <f t="shared" si="12"/>
        <v>1397.011296799318</v>
      </c>
      <c r="I66" s="18">
        <f t="shared" si="12"/>
        <v>1424.9515227353043</v>
      </c>
      <c r="J66" s="18">
        <f t="shared" si="12"/>
        <v>1453.4505531900104</v>
      </c>
      <c r="K66" s="18">
        <f t="shared" si="12"/>
        <v>1482.5195642538108</v>
      </c>
      <c r="L66" s="18">
        <f t="shared" si="12"/>
        <v>1512.1699555388871</v>
      </c>
      <c r="M66" s="18">
        <f t="shared" si="12"/>
        <v>1542.4133546496648</v>
      </c>
      <c r="N66" s="18">
        <f t="shared" si="12"/>
        <v>1573.2616217426582</v>
      </c>
      <c r="O66" s="18">
        <f t="shared" si="12"/>
        <v>1604.7268541775115</v>
      </c>
      <c r="P66" s="18">
        <f t="shared" si="12"/>
        <v>1636.8213912610615</v>
      </c>
      <c r="Q66" s="18">
        <f t="shared" si="12"/>
        <v>1669.5578190862827</v>
      </c>
      <c r="R66" s="18">
        <f t="shared" si="12"/>
        <v>1702.9489754680085</v>
      </c>
      <c r="S66" s="18">
        <f t="shared" si="12"/>
        <v>1737.0079549773686</v>
      </c>
      <c r="T66" s="18">
        <f t="shared" si="12"/>
        <v>1771.7481140769162</v>
      </c>
      <c r="U66" s="18">
        <f t="shared" si="12"/>
        <v>1807.1830763584546</v>
      </c>
      <c r="V66" s="18">
        <f t="shared" si="12"/>
        <v>1843.3267378856235</v>
      </c>
      <c r="W66" s="18">
        <f t="shared" si="12"/>
        <v>1880.1932726433361</v>
      </c>
      <c r="X66" s="18">
        <f t="shared" si="12"/>
        <v>1917.7971380962028</v>
      </c>
      <c r="Y66" s="18">
        <f t="shared" si="12"/>
        <v>1956.1530808581267</v>
      </c>
      <c r="Z66" s="18">
        <f t="shared" si="12"/>
        <v>1995.2761424752894</v>
      </c>
      <c r="AA66" s="18">
        <f t="shared" si="12"/>
        <v>2035.1816653247949</v>
      </c>
      <c r="AB66" s="18">
        <f t="shared" si="12"/>
        <v>2075.8852986312909</v>
      </c>
      <c r="AC66" s="18">
        <f t="shared" si="12"/>
        <v>2117.4030046039165</v>
      </c>
      <c r="AD66" s="18">
        <f t="shared" si="12"/>
        <v>2159.751064695995</v>
      </c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</row>
    <row r="67" spans="2:66" x14ac:dyDescent="0.35">
      <c r="B67" s="12"/>
      <c r="C67" s="1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</row>
    <row r="68" spans="2:66" s="4" customFormat="1" x14ac:dyDescent="0.35">
      <c r="B68" s="4" t="s">
        <v>134</v>
      </c>
      <c r="C68" s="17" t="s">
        <v>115</v>
      </c>
      <c r="D68" s="7"/>
      <c r="E68" s="7"/>
      <c r="G68" s="43" t="e">
        <f t="shared" ref="G68:AD68" ca="1" si="13">G66+G64</f>
        <v>#NAME?</v>
      </c>
      <c r="H68" s="43" t="e">
        <f t="shared" ca="1" si="13"/>
        <v>#NAME?</v>
      </c>
      <c r="I68" s="43" t="e">
        <f t="shared" ca="1" si="13"/>
        <v>#NAME?</v>
      </c>
      <c r="J68" s="43" t="e">
        <f t="shared" ca="1" si="13"/>
        <v>#NAME?</v>
      </c>
      <c r="K68" s="43" t="e">
        <f t="shared" ca="1" si="13"/>
        <v>#NAME?</v>
      </c>
      <c r="L68" s="43" t="e">
        <f t="shared" ca="1" si="13"/>
        <v>#NAME?</v>
      </c>
      <c r="M68" s="43" t="e">
        <f t="shared" ca="1" si="13"/>
        <v>#NAME?</v>
      </c>
      <c r="N68" s="43" t="e">
        <f t="shared" ca="1" si="13"/>
        <v>#NAME?</v>
      </c>
      <c r="O68" s="43" t="e">
        <f t="shared" ca="1" si="13"/>
        <v>#NAME?</v>
      </c>
      <c r="P68" s="43" t="e">
        <f t="shared" ca="1" si="13"/>
        <v>#NAME?</v>
      </c>
      <c r="Q68" s="43" t="e">
        <f t="shared" ca="1" si="13"/>
        <v>#NAME?</v>
      </c>
      <c r="R68" s="43" t="e">
        <f t="shared" ca="1" si="13"/>
        <v>#NAME?</v>
      </c>
      <c r="S68" s="43" t="e">
        <f t="shared" ca="1" si="13"/>
        <v>#NAME?</v>
      </c>
      <c r="T68" s="43" t="e">
        <f t="shared" ca="1" si="13"/>
        <v>#NAME?</v>
      </c>
      <c r="U68" s="43" t="e">
        <f t="shared" ca="1" si="13"/>
        <v>#NAME?</v>
      </c>
      <c r="V68" s="43" t="e">
        <f t="shared" ca="1" si="13"/>
        <v>#NAME?</v>
      </c>
      <c r="W68" s="43" t="e">
        <f t="shared" ca="1" si="13"/>
        <v>#NAME?</v>
      </c>
      <c r="X68" s="43" t="e">
        <f t="shared" ca="1" si="13"/>
        <v>#NAME?</v>
      </c>
      <c r="Y68" s="43" t="e">
        <f t="shared" ca="1" si="13"/>
        <v>#NAME?</v>
      </c>
      <c r="Z68" s="43" t="e">
        <f t="shared" ca="1" si="13"/>
        <v>#NAME?</v>
      </c>
      <c r="AA68" s="43" t="e">
        <f t="shared" ca="1" si="13"/>
        <v>#NAME?</v>
      </c>
      <c r="AB68" s="43" t="e">
        <f t="shared" ca="1" si="13"/>
        <v>#NAME?</v>
      </c>
      <c r="AC68" s="43" t="e">
        <f t="shared" ca="1" si="13"/>
        <v>#NAME?</v>
      </c>
      <c r="AD68" s="43" t="e">
        <f t="shared" ca="1" si="13"/>
        <v>#NAME?</v>
      </c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</row>
    <row r="69" spans="2:66" s="4" customFormat="1" x14ac:dyDescent="0.35">
      <c r="C69" s="9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</row>
    <row r="70" spans="2:66" x14ac:dyDescent="0.35">
      <c r="B70" s="3" t="s">
        <v>240</v>
      </c>
      <c r="C70" s="17" t="s">
        <v>135</v>
      </c>
      <c r="D70" s="7"/>
      <c r="E70" s="7"/>
      <c r="G70" s="46" t="e">
        <f ca="1">((G68-G53-G51)/G49)</f>
        <v>#NAME?</v>
      </c>
      <c r="H70" s="46" t="e">
        <f t="shared" ref="H70:AD70" ca="1" si="14">((H68-H53-H51)/H49)</f>
        <v>#NAME?</v>
      </c>
      <c r="I70" s="46" t="e">
        <f t="shared" ca="1" si="14"/>
        <v>#NAME?</v>
      </c>
      <c r="J70" s="46" t="e">
        <f t="shared" ca="1" si="14"/>
        <v>#NAME?</v>
      </c>
      <c r="K70" s="46" t="e">
        <f t="shared" ca="1" si="14"/>
        <v>#NAME?</v>
      </c>
      <c r="L70" s="46" t="e">
        <f t="shared" ca="1" si="14"/>
        <v>#NAME?</v>
      </c>
      <c r="M70" s="46" t="e">
        <f t="shared" ca="1" si="14"/>
        <v>#NAME?</v>
      </c>
      <c r="N70" s="46" t="e">
        <f t="shared" ca="1" si="14"/>
        <v>#NAME?</v>
      </c>
      <c r="O70" s="46" t="e">
        <f t="shared" ca="1" si="14"/>
        <v>#NAME?</v>
      </c>
      <c r="P70" s="46" t="e">
        <f t="shared" ca="1" si="14"/>
        <v>#NAME?</v>
      </c>
      <c r="Q70" s="46" t="e">
        <f t="shared" ca="1" si="14"/>
        <v>#NAME?</v>
      </c>
      <c r="R70" s="46" t="e">
        <f t="shared" ca="1" si="14"/>
        <v>#NAME?</v>
      </c>
      <c r="S70" s="46" t="e">
        <f t="shared" ca="1" si="14"/>
        <v>#NAME?</v>
      </c>
      <c r="T70" s="46" t="e">
        <f t="shared" ca="1" si="14"/>
        <v>#NAME?</v>
      </c>
      <c r="U70" s="46" t="e">
        <f t="shared" ca="1" si="14"/>
        <v>#NAME?</v>
      </c>
      <c r="V70" s="46" t="e">
        <f t="shared" ca="1" si="14"/>
        <v>#NAME?</v>
      </c>
      <c r="W70" s="46" t="e">
        <f t="shared" ca="1" si="14"/>
        <v>#NAME?</v>
      </c>
      <c r="X70" s="46" t="e">
        <f t="shared" ca="1" si="14"/>
        <v>#NAME?</v>
      </c>
      <c r="Y70" s="46" t="e">
        <f t="shared" ca="1" si="14"/>
        <v>#NAME?</v>
      </c>
      <c r="Z70" s="46" t="e">
        <f t="shared" ca="1" si="14"/>
        <v>#NAME?</v>
      </c>
      <c r="AA70" s="46" t="e">
        <f t="shared" ca="1" si="14"/>
        <v>#NAME?</v>
      </c>
      <c r="AB70" s="46" t="e">
        <f t="shared" ca="1" si="14"/>
        <v>#NAME?</v>
      </c>
      <c r="AC70" s="46" t="e">
        <f t="shared" ca="1" si="14"/>
        <v>#NAME?</v>
      </c>
      <c r="AD70" s="46" t="e">
        <f t="shared" ca="1" si="14"/>
        <v>#NAME?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</row>
    <row r="71" spans="2:66" x14ac:dyDescent="0.35">
      <c r="C71" s="17"/>
      <c r="D71" s="7"/>
      <c r="E71" s="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</row>
    <row r="72" spans="2:66" x14ac:dyDescent="0.35">
      <c r="B72" s="3" t="s">
        <v>241</v>
      </c>
      <c r="C72" s="17" t="s">
        <v>229</v>
      </c>
      <c r="D72" s="7"/>
      <c r="E72" s="7"/>
      <c r="F72" s="11">
        <f>IF(ISNUMBER(F31),F31,INDEX(G70:BN70,1,MATCH(F6,G2:BN2,0)))</f>
        <v>1.4999999999999999E-2</v>
      </c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</row>
    <row r="73" spans="2:66" x14ac:dyDescent="0.35">
      <c r="C73" s="17"/>
      <c r="D73" s="7"/>
      <c r="E73" s="7"/>
      <c r="F73" s="46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</row>
    <row r="74" spans="2:66" x14ac:dyDescent="0.35">
      <c r="B74" s="3" t="s">
        <v>242</v>
      </c>
      <c r="C74" s="17" t="s">
        <v>229</v>
      </c>
      <c r="D74" s="7"/>
      <c r="E74" s="7"/>
      <c r="F74" s="11">
        <f>'Control Sheet'!F20+'Control Sheet'!F13</f>
        <v>0.02</v>
      </c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</row>
    <row r="75" spans="2:66" x14ac:dyDescent="0.35">
      <c r="B75" s="3" t="s">
        <v>230</v>
      </c>
      <c r="C75" s="17" t="s">
        <v>114</v>
      </c>
      <c r="D75" s="7"/>
      <c r="E75" s="7"/>
      <c r="F75" s="48">
        <f>'Control Sheet'!F21</f>
        <v>0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</row>
    <row r="76" spans="2:66" x14ac:dyDescent="0.35">
      <c r="C76" s="1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</row>
    <row r="77" spans="2:66" x14ac:dyDescent="0.35">
      <c r="B77" s="3" t="s">
        <v>242</v>
      </c>
      <c r="C77" s="17" t="s">
        <v>229</v>
      </c>
      <c r="D77" s="7"/>
      <c r="E77" s="7"/>
      <c r="G77" s="49">
        <f>IF($F$75&gt;=G2,$F$74,0)</f>
        <v>0</v>
      </c>
      <c r="H77" s="49">
        <f t="shared" ref="H77:AD77" si="15">IF($F$75&gt;=H2,$F$74,0)</f>
        <v>0</v>
      </c>
      <c r="I77" s="49">
        <f t="shared" si="15"/>
        <v>0</v>
      </c>
      <c r="J77" s="49">
        <f t="shared" si="15"/>
        <v>0</v>
      </c>
      <c r="K77" s="49">
        <f t="shared" si="15"/>
        <v>0</v>
      </c>
      <c r="L77" s="49">
        <f t="shared" si="15"/>
        <v>0</v>
      </c>
      <c r="M77" s="49">
        <f t="shared" si="15"/>
        <v>0</v>
      </c>
      <c r="N77" s="49">
        <f t="shared" si="15"/>
        <v>0</v>
      </c>
      <c r="O77" s="49">
        <f t="shared" si="15"/>
        <v>0</v>
      </c>
      <c r="P77" s="49">
        <f t="shared" si="15"/>
        <v>0</v>
      </c>
      <c r="Q77" s="49">
        <f t="shared" si="15"/>
        <v>0</v>
      </c>
      <c r="R77" s="49">
        <f t="shared" si="15"/>
        <v>0</v>
      </c>
      <c r="S77" s="49">
        <f t="shared" si="15"/>
        <v>0</v>
      </c>
      <c r="T77" s="49">
        <f t="shared" si="15"/>
        <v>0</v>
      </c>
      <c r="U77" s="49">
        <f t="shared" si="15"/>
        <v>0</v>
      </c>
      <c r="V77" s="49">
        <f t="shared" si="15"/>
        <v>0</v>
      </c>
      <c r="W77" s="49">
        <f t="shared" si="15"/>
        <v>0</v>
      </c>
      <c r="X77" s="49">
        <f t="shared" si="15"/>
        <v>0</v>
      </c>
      <c r="Y77" s="49">
        <f t="shared" si="15"/>
        <v>0</v>
      </c>
      <c r="Z77" s="49">
        <f t="shared" si="15"/>
        <v>0</v>
      </c>
      <c r="AA77" s="49">
        <f t="shared" si="15"/>
        <v>0</v>
      </c>
      <c r="AB77" s="49">
        <f t="shared" si="15"/>
        <v>0</v>
      </c>
      <c r="AC77" s="49">
        <f t="shared" si="15"/>
        <v>0</v>
      </c>
      <c r="AD77" s="49">
        <f t="shared" si="15"/>
        <v>0</v>
      </c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</row>
    <row r="78" spans="2:66" x14ac:dyDescent="0.35">
      <c r="C78" s="17"/>
      <c r="D78" s="7"/>
      <c r="E78" s="7"/>
      <c r="H78" s="50"/>
      <c r="I78" s="50"/>
      <c r="J78" s="50"/>
      <c r="K78" s="50"/>
      <c r="L78" s="5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</row>
    <row r="79" spans="2:66" hidden="1" outlineLevel="1" x14ac:dyDescent="0.35">
      <c r="B79" s="3" t="s">
        <v>243</v>
      </c>
      <c r="C79" s="17" t="s">
        <v>229</v>
      </c>
      <c r="D79" s="7"/>
      <c r="E79" s="7"/>
      <c r="F79" s="51">
        <f>(1+G77)*(1+H77)*(1+I77)*(1+J77)*(1+K77)*(1+L77)*(1+M77)*(1+N77)*(1+O77)*(1+P77)*(1+Q77)*(1+R77)*(1+S77)*(1+T77)*(1+U77)*(1+V77)*(1+W77)*(1+X77)*(1+Y77)</f>
        <v>1</v>
      </c>
      <c r="H79" s="50"/>
      <c r="I79" s="50"/>
      <c r="J79" s="50"/>
      <c r="K79" s="50"/>
      <c r="L79" s="50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</row>
    <row r="80" spans="2:66" hidden="1" outlineLevel="1" x14ac:dyDescent="0.35">
      <c r="C80" s="17"/>
      <c r="D80" s="7"/>
      <c r="E80" s="7"/>
      <c r="F80" s="51"/>
      <c r="H80" s="50"/>
      <c r="I80" s="50"/>
      <c r="J80" s="50"/>
      <c r="K80" s="50"/>
      <c r="L80" s="50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</row>
    <row r="81" spans="1:66" collapsed="1" x14ac:dyDescent="0.35">
      <c r="B81" s="3" t="s">
        <v>244</v>
      </c>
      <c r="C81" s="17" t="s">
        <v>229</v>
      </c>
      <c r="D81" s="7"/>
      <c r="E81" s="7"/>
      <c r="F81" s="49">
        <f>F72/F79</f>
        <v>1.4999999999999999E-2</v>
      </c>
      <c r="H81" s="50"/>
      <c r="I81" s="50"/>
      <c r="J81" s="50"/>
      <c r="K81" s="50"/>
      <c r="L81" s="50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</row>
    <row r="82" spans="1:66" x14ac:dyDescent="0.35">
      <c r="C82" s="17"/>
      <c r="D82" s="7"/>
      <c r="E82" s="7"/>
      <c r="F82" s="49"/>
      <c r="H82" s="50"/>
      <c r="I82" s="50"/>
      <c r="J82" s="50"/>
      <c r="K82" s="50"/>
      <c r="L82" s="50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</row>
    <row r="83" spans="1:66" x14ac:dyDescent="0.35">
      <c r="B83" s="3" t="s">
        <v>245</v>
      </c>
      <c r="C83" s="17" t="s">
        <v>229</v>
      </c>
      <c r="D83" s="7"/>
      <c r="E83" s="7"/>
      <c r="F83" s="52">
        <f>IF(ISNUMBER(F31),F31,F81^(1/(F6-F75))-1)</f>
        <v>1.4999999999999999E-2</v>
      </c>
      <c r="H83" s="50"/>
      <c r="I83" s="50"/>
      <c r="J83" s="50"/>
      <c r="K83" s="50"/>
      <c r="L83" s="50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</row>
    <row r="84" spans="1:66" x14ac:dyDescent="0.35">
      <c r="B84" s="3" t="s">
        <v>246</v>
      </c>
      <c r="C84" s="17" t="s">
        <v>229</v>
      </c>
      <c r="D84" s="7"/>
      <c r="E84" s="7"/>
      <c r="F84" s="37">
        <f ca="1">IFERROR(F33,F83)</f>
        <v>1.4999999999999999E-2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</row>
    <row r="85" spans="1:66" x14ac:dyDescent="0.35">
      <c r="B85" s="3" t="s">
        <v>201</v>
      </c>
      <c r="C85" s="17" t="s">
        <v>229</v>
      </c>
      <c r="D85" s="7"/>
      <c r="E85" s="7"/>
      <c r="G85" s="37">
        <f>IF($F$75&gt;=G2,G77,IF($F$6&gt;=G2,$F$83,$F$84))</f>
        <v>1.4999999999999999E-2</v>
      </c>
      <c r="H85" s="37">
        <f t="shared" ref="H85:AD85" si="16">IF($F$75&gt;=H2,H77,IF($F$6&gt;=H2,$F$83,$F$84))</f>
        <v>1.4999999999999999E-2</v>
      </c>
      <c r="I85" s="37">
        <f t="shared" si="16"/>
        <v>1.4999999999999999E-2</v>
      </c>
      <c r="J85" s="37">
        <f t="shared" si="16"/>
        <v>1.4999999999999999E-2</v>
      </c>
      <c r="K85" s="37">
        <f t="shared" si="16"/>
        <v>1.4999999999999999E-2</v>
      </c>
      <c r="L85" s="37">
        <f t="shared" si="16"/>
        <v>1.4999999999999999E-2</v>
      </c>
      <c r="M85" s="37">
        <f t="shared" si="16"/>
        <v>1.4999999999999999E-2</v>
      </c>
      <c r="N85" s="37">
        <f t="shared" si="16"/>
        <v>1.4999999999999999E-2</v>
      </c>
      <c r="O85" s="37">
        <f t="shared" si="16"/>
        <v>1.4999999999999999E-2</v>
      </c>
      <c r="P85" s="37">
        <f t="shared" si="16"/>
        <v>1.4999999999999999E-2</v>
      </c>
      <c r="Q85" s="37">
        <f t="shared" si="16"/>
        <v>1.4999999999999999E-2</v>
      </c>
      <c r="R85" s="37">
        <f t="shared" si="16"/>
        <v>1.4999999999999999E-2</v>
      </c>
      <c r="S85" s="37">
        <f t="shared" si="16"/>
        <v>1.4999999999999999E-2</v>
      </c>
      <c r="T85" s="37">
        <f t="shared" si="16"/>
        <v>1.4999999999999999E-2</v>
      </c>
      <c r="U85" s="37">
        <f t="shared" si="16"/>
        <v>1.4999999999999999E-2</v>
      </c>
      <c r="V85" s="37">
        <f t="shared" si="16"/>
        <v>1.4999999999999999E-2</v>
      </c>
      <c r="W85" s="37">
        <f t="shared" si="16"/>
        <v>1.4999999999999999E-2</v>
      </c>
      <c r="X85" s="37">
        <f t="shared" si="16"/>
        <v>1.4999999999999999E-2</v>
      </c>
      <c r="Y85" s="37">
        <f t="shared" si="16"/>
        <v>1.4999999999999999E-2</v>
      </c>
      <c r="Z85" s="37">
        <f t="shared" ca="1" si="16"/>
        <v>1.4999999999999999E-2</v>
      </c>
      <c r="AA85" s="37">
        <f t="shared" ca="1" si="16"/>
        <v>1.4999999999999999E-2</v>
      </c>
      <c r="AB85" s="37">
        <f t="shared" ca="1" si="16"/>
        <v>1.4999999999999999E-2</v>
      </c>
      <c r="AC85" s="37">
        <f t="shared" ca="1" si="16"/>
        <v>1.4999999999999999E-2</v>
      </c>
      <c r="AD85" s="37">
        <f t="shared" ca="1" si="16"/>
        <v>1.4999999999999999E-2</v>
      </c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x14ac:dyDescent="0.35">
      <c r="C86" s="17"/>
      <c r="G86" s="18"/>
      <c r="H86" s="18"/>
      <c r="I86" s="18"/>
      <c r="J86" s="18"/>
      <c r="K86" s="18"/>
      <c r="L86" s="18"/>
      <c r="P86" s="53"/>
      <c r="Q86" s="54"/>
      <c r="R86" s="54"/>
    </row>
    <row r="87" spans="1:66" s="93" customFormat="1" ht="18.5" x14ac:dyDescent="0.35">
      <c r="A87" s="30" t="s">
        <v>137</v>
      </c>
      <c r="B87" s="30"/>
      <c r="C87" s="92"/>
      <c r="F87" s="94" t="s">
        <v>42</v>
      </c>
      <c r="G87" s="94" t="s">
        <v>16</v>
      </c>
      <c r="H87" s="94" t="s">
        <v>17</v>
      </c>
      <c r="I87" s="94" t="s">
        <v>18</v>
      </c>
      <c r="J87" s="94" t="s">
        <v>19</v>
      </c>
      <c r="K87" s="94" t="s">
        <v>20</v>
      </c>
      <c r="L87" s="95" t="s">
        <v>21</v>
      </c>
      <c r="M87" s="94" t="s">
        <v>22</v>
      </c>
      <c r="N87" s="94" t="s">
        <v>23</v>
      </c>
      <c r="O87" s="94" t="s">
        <v>24</v>
      </c>
      <c r="P87" s="94" t="s">
        <v>25</v>
      </c>
      <c r="Q87" s="94" t="s">
        <v>26</v>
      </c>
      <c r="R87" s="95" t="s">
        <v>27</v>
      </c>
      <c r="S87" s="94" t="s">
        <v>28</v>
      </c>
      <c r="T87" s="94" t="s">
        <v>29</v>
      </c>
      <c r="U87" s="94" t="s">
        <v>30</v>
      </c>
      <c r="V87" s="94" t="s">
        <v>31</v>
      </c>
      <c r="W87" s="94" t="s">
        <v>32</v>
      </c>
      <c r="X87" s="95" t="s">
        <v>33</v>
      </c>
      <c r="Y87" s="94" t="s">
        <v>34</v>
      </c>
      <c r="Z87" s="94" t="s">
        <v>35</v>
      </c>
      <c r="AA87" s="94" t="s">
        <v>36</v>
      </c>
      <c r="AB87" s="94" t="s">
        <v>37</v>
      </c>
      <c r="AC87" s="94" t="s">
        <v>38</v>
      </c>
      <c r="AD87" s="95" t="s">
        <v>39</v>
      </c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</row>
    <row r="88" spans="1:66" ht="14.5" customHeight="1" x14ac:dyDescent="0.55000000000000004">
      <c r="A88" s="55"/>
      <c r="B88" s="4"/>
      <c r="C88" s="17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</row>
    <row r="89" spans="1:66" x14ac:dyDescent="0.35">
      <c r="B89" s="4" t="s">
        <v>47</v>
      </c>
      <c r="C89" s="17"/>
    </row>
    <row r="90" spans="1:66" x14ac:dyDescent="0.35">
      <c r="B90" s="12" t="s">
        <v>126</v>
      </c>
      <c r="C90" s="17" t="s">
        <v>115</v>
      </c>
      <c r="D90" s="7"/>
      <c r="E90" s="7"/>
      <c r="F90" s="18" t="e">
        <f ca="1">F9</f>
        <v>#NAME?</v>
      </c>
      <c r="G90" s="6" t="e">
        <f ca="1">F90*(1+G16)*(1+G$85+G$19)</f>
        <v>#NAME?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x14ac:dyDescent="0.35">
      <c r="B91" s="12" t="s">
        <v>231</v>
      </c>
      <c r="C91" s="17" t="s">
        <v>115</v>
      </c>
      <c r="D91" s="7"/>
      <c r="E91" s="7"/>
      <c r="F91" s="18"/>
      <c r="G91" s="18">
        <f>F10</f>
        <v>-14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x14ac:dyDescent="0.35">
      <c r="B92" s="12" t="s">
        <v>232</v>
      </c>
      <c r="C92" s="17" t="s">
        <v>115</v>
      </c>
      <c r="D92" s="7"/>
      <c r="E92" s="7"/>
      <c r="F92" s="18" t="e">
        <f ca="1">SUM(F90:F91)</f>
        <v>#NAME?</v>
      </c>
      <c r="G92" s="6" t="e">
        <f ca="1">SUM(G90:G91)</f>
        <v>#NAME?</v>
      </c>
      <c r="H92" s="18" t="e">
        <f ca="1">G92*(1+H16)*(1+H$85+H$19)</f>
        <v>#NAME?</v>
      </c>
      <c r="I92" s="18" t="e">
        <f t="shared" ref="I92:AD92" ca="1" si="17">H92*(1+I16)*(1+I$85+I$19)</f>
        <v>#NAME?</v>
      </c>
      <c r="J92" s="18" t="e">
        <f t="shared" ca="1" si="17"/>
        <v>#NAME?</v>
      </c>
      <c r="K92" s="18" t="e">
        <f t="shared" ca="1" si="17"/>
        <v>#NAME?</v>
      </c>
      <c r="L92" s="18" t="e">
        <f t="shared" ca="1" si="17"/>
        <v>#NAME?</v>
      </c>
      <c r="M92" s="18" t="e">
        <f t="shared" ca="1" si="17"/>
        <v>#NAME?</v>
      </c>
      <c r="N92" s="18" t="e">
        <f t="shared" ca="1" si="17"/>
        <v>#NAME?</v>
      </c>
      <c r="O92" s="18" t="e">
        <f t="shared" ca="1" si="17"/>
        <v>#NAME?</v>
      </c>
      <c r="P92" s="18" t="e">
        <f t="shared" ca="1" si="17"/>
        <v>#NAME?</v>
      </c>
      <c r="Q92" s="18" t="e">
        <f t="shared" ca="1" si="17"/>
        <v>#NAME?</v>
      </c>
      <c r="R92" s="18" t="e">
        <f t="shared" ca="1" si="17"/>
        <v>#NAME?</v>
      </c>
      <c r="S92" s="18" t="e">
        <f t="shared" ca="1" si="17"/>
        <v>#NAME?</v>
      </c>
      <c r="T92" s="18" t="e">
        <f t="shared" ca="1" si="17"/>
        <v>#NAME?</v>
      </c>
      <c r="U92" s="18" t="e">
        <f t="shared" ca="1" si="17"/>
        <v>#NAME?</v>
      </c>
      <c r="V92" s="18" t="e">
        <f t="shared" ca="1" si="17"/>
        <v>#NAME?</v>
      </c>
      <c r="W92" s="18" t="e">
        <f t="shared" ca="1" si="17"/>
        <v>#NAME?</v>
      </c>
      <c r="X92" s="18" t="e">
        <f t="shared" ca="1" si="17"/>
        <v>#NAME?</v>
      </c>
      <c r="Y92" s="18" t="e">
        <f t="shared" ca="1" si="17"/>
        <v>#NAME?</v>
      </c>
      <c r="Z92" s="18" t="e">
        <f t="shared" ca="1" si="17"/>
        <v>#NAME?</v>
      </c>
      <c r="AA92" s="18" t="e">
        <f t="shared" ca="1" si="17"/>
        <v>#NAME?</v>
      </c>
      <c r="AB92" s="18" t="e">
        <f t="shared" ca="1" si="17"/>
        <v>#NAME?</v>
      </c>
      <c r="AC92" s="18" t="e">
        <f t="shared" ca="1" si="17"/>
        <v>#NAME?</v>
      </c>
      <c r="AD92" s="18" t="e">
        <f t="shared" ca="1" si="17"/>
        <v>#NAME?</v>
      </c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x14ac:dyDescent="0.35">
      <c r="B93" s="12" t="s">
        <v>127</v>
      </c>
      <c r="C93" s="17" t="s">
        <v>115</v>
      </c>
      <c r="D93" s="7"/>
      <c r="E93" s="7"/>
      <c r="F93" s="18" t="e">
        <f ca="1">F11</f>
        <v>#NAME?</v>
      </c>
      <c r="G93" s="18" t="e">
        <f ca="1">F93*(1+G17)*(1+G$85+G$19)</f>
        <v>#NAME?</v>
      </c>
      <c r="H93" s="18" t="e">
        <f t="shared" ref="H93:AD93" ca="1" si="18">G93*(1+H17)*(1+H$85+H$19)</f>
        <v>#NAME?</v>
      </c>
      <c r="I93" s="18" t="e">
        <f t="shared" ca="1" si="18"/>
        <v>#NAME?</v>
      </c>
      <c r="J93" s="18" t="e">
        <f t="shared" ca="1" si="18"/>
        <v>#NAME?</v>
      </c>
      <c r="K93" s="18" t="e">
        <f t="shared" ca="1" si="18"/>
        <v>#NAME?</v>
      </c>
      <c r="L93" s="18" t="e">
        <f t="shared" ca="1" si="18"/>
        <v>#NAME?</v>
      </c>
      <c r="M93" s="18" t="e">
        <f t="shared" ca="1" si="18"/>
        <v>#NAME?</v>
      </c>
      <c r="N93" s="18" t="e">
        <f t="shared" ca="1" si="18"/>
        <v>#NAME?</v>
      </c>
      <c r="O93" s="18" t="e">
        <f t="shared" ca="1" si="18"/>
        <v>#NAME?</v>
      </c>
      <c r="P93" s="18" t="e">
        <f t="shared" ca="1" si="18"/>
        <v>#NAME?</v>
      </c>
      <c r="Q93" s="18" t="e">
        <f t="shared" ca="1" si="18"/>
        <v>#NAME?</v>
      </c>
      <c r="R93" s="18" t="e">
        <f t="shared" ca="1" si="18"/>
        <v>#NAME?</v>
      </c>
      <c r="S93" s="18" t="e">
        <f t="shared" ca="1" si="18"/>
        <v>#NAME?</v>
      </c>
      <c r="T93" s="18" t="e">
        <f t="shared" ca="1" si="18"/>
        <v>#NAME?</v>
      </c>
      <c r="U93" s="18" t="e">
        <f t="shared" ca="1" si="18"/>
        <v>#NAME?</v>
      </c>
      <c r="V93" s="18" t="e">
        <f t="shared" ca="1" si="18"/>
        <v>#NAME?</v>
      </c>
      <c r="W93" s="18" t="e">
        <f t="shared" ca="1" si="18"/>
        <v>#NAME?</v>
      </c>
      <c r="X93" s="18" t="e">
        <f t="shared" ca="1" si="18"/>
        <v>#NAME?</v>
      </c>
      <c r="Y93" s="18" t="e">
        <f t="shared" ca="1" si="18"/>
        <v>#NAME?</v>
      </c>
      <c r="Z93" s="18" t="e">
        <f t="shared" ca="1" si="18"/>
        <v>#NAME?</v>
      </c>
      <c r="AA93" s="18" t="e">
        <f t="shared" ca="1" si="18"/>
        <v>#NAME?</v>
      </c>
      <c r="AB93" s="18" t="e">
        <f t="shared" ca="1" si="18"/>
        <v>#NAME?</v>
      </c>
      <c r="AC93" s="18" t="e">
        <f t="shared" ca="1" si="18"/>
        <v>#NAME?</v>
      </c>
      <c r="AD93" s="18" t="e">
        <f t="shared" ca="1" si="18"/>
        <v>#NAME?</v>
      </c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x14ac:dyDescent="0.35">
      <c r="B94" s="12" t="s">
        <v>128</v>
      </c>
      <c r="C94" s="17" t="s">
        <v>115</v>
      </c>
      <c r="D94" s="7"/>
      <c r="E94" s="7"/>
      <c r="F94" s="143">
        <f>'Supplementary inputs'!F12</f>
        <v>12</v>
      </c>
      <c r="G94" s="18" t="e">
        <f ca="1">F94*(1+G17)*(1+G$85+G$19)</f>
        <v>#NAME?</v>
      </c>
      <c r="H94" s="18" t="e">
        <f t="shared" ref="H94:AD94" ca="1" si="19">G94*(1+H17)*(1+H$85+H$19)</f>
        <v>#NAME?</v>
      </c>
      <c r="I94" s="18" t="e">
        <f t="shared" ca="1" si="19"/>
        <v>#NAME?</v>
      </c>
      <c r="J94" s="18" t="e">
        <f t="shared" ca="1" si="19"/>
        <v>#NAME?</v>
      </c>
      <c r="K94" s="18" t="e">
        <f t="shared" ca="1" si="19"/>
        <v>#NAME?</v>
      </c>
      <c r="L94" s="18" t="e">
        <f t="shared" ca="1" si="19"/>
        <v>#NAME?</v>
      </c>
      <c r="M94" s="18" t="e">
        <f t="shared" ca="1" si="19"/>
        <v>#NAME?</v>
      </c>
      <c r="N94" s="18" t="e">
        <f t="shared" ca="1" si="19"/>
        <v>#NAME?</v>
      </c>
      <c r="O94" s="18" t="e">
        <f t="shared" ca="1" si="19"/>
        <v>#NAME?</v>
      </c>
      <c r="P94" s="18" t="e">
        <f t="shared" ca="1" si="19"/>
        <v>#NAME?</v>
      </c>
      <c r="Q94" s="18" t="e">
        <f t="shared" ca="1" si="19"/>
        <v>#NAME?</v>
      </c>
      <c r="R94" s="18" t="e">
        <f t="shared" ca="1" si="19"/>
        <v>#NAME?</v>
      </c>
      <c r="S94" s="18" t="e">
        <f t="shared" ca="1" si="19"/>
        <v>#NAME?</v>
      </c>
      <c r="T94" s="18" t="e">
        <f t="shared" ca="1" si="19"/>
        <v>#NAME?</v>
      </c>
      <c r="U94" s="18" t="e">
        <f t="shared" ca="1" si="19"/>
        <v>#NAME?</v>
      </c>
      <c r="V94" s="18" t="e">
        <f t="shared" ca="1" si="19"/>
        <v>#NAME?</v>
      </c>
      <c r="W94" s="18" t="e">
        <f t="shared" ca="1" si="19"/>
        <v>#NAME?</v>
      </c>
      <c r="X94" s="18" t="e">
        <f t="shared" ca="1" si="19"/>
        <v>#NAME?</v>
      </c>
      <c r="Y94" s="18" t="e">
        <f t="shared" ca="1" si="19"/>
        <v>#NAME?</v>
      </c>
      <c r="Z94" s="18" t="e">
        <f t="shared" ca="1" si="19"/>
        <v>#NAME?</v>
      </c>
      <c r="AA94" s="18" t="e">
        <f t="shared" ca="1" si="19"/>
        <v>#NAME?</v>
      </c>
      <c r="AB94" s="18" t="e">
        <f t="shared" ca="1" si="19"/>
        <v>#NAME?</v>
      </c>
      <c r="AC94" s="18" t="e">
        <f t="shared" ca="1" si="19"/>
        <v>#NAME?</v>
      </c>
      <c r="AD94" s="18" t="e">
        <f t="shared" ca="1" si="19"/>
        <v>#NAME?</v>
      </c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x14ac:dyDescent="0.35">
      <c r="B95" s="9" t="s">
        <v>44</v>
      </c>
      <c r="C95" s="17" t="s">
        <v>115</v>
      </c>
      <c r="D95" s="7"/>
      <c r="E95" s="7"/>
      <c r="F95" s="43" t="e">
        <f ca="1">SUM(F92:F94)</f>
        <v>#NAME?</v>
      </c>
      <c r="G95" s="43" t="e">
        <f ca="1">SUM(G92:G94)</f>
        <v>#NAME?</v>
      </c>
      <c r="H95" s="43" t="e">
        <f ca="1">SUM(H92:H94)</f>
        <v>#NAME?</v>
      </c>
      <c r="I95" s="43" t="e">
        <f t="shared" ref="I95:AD95" ca="1" si="20">SUM(I92:I94)</f>
        <v>#NAME?</v>
      </c>
      <c r="J95" s="43" t="e">
        <f t="shared" ca="1" si="20"/>
        <v>#NAME?</v>
      </c>
      <c r="K95" s="43" t="e">
        <f t="shared" ca="1" si="20"/>
        <v>#NAME?</v>
      </c>
      <c r="L95" s="43" t="e">
        <f ca="1">SUM(L92:L94)</f>
        <v>#NAME?</v>
      </c>
      <c r="M95" s="43" t="e">
        <f t="shared" ca="1" si="20"/>
        <v>#NAME?</v>
      </c>
      <c r="N95" s="43" t="e">
        <f t="shared" ca="1" si="20"/>
        <v>#NAME?</v>
      </c>
      <c r="O95" s="43" t="e">
        <f t="shared" ca="1" si="20"/>
        <v>#NAME?</v>
      </c>
      <c r="P95" s="43" t="e">
        <f t="shared" ca="1" si="20"/>
        <v>#NAME?</v>
      </c>
      <c r="Q95" s="43" t="e">
        <f t="shared" ca="1" si="20"/>
        <v>#NAME?</v>
      </c>
      <c r="R95" s="43" t="e">
        <f t="shared" ca="1" si="20"/>
        <v>#NAME?</v>
      </c>
      <c r="S95" s="43" t="e">
        <f t="shared" ca="1" si="20"/>
        <v>#NAME?</v>
      </c>
      <c r="T95" s="43" t="e">
        <f t="shared" ca="1" si="20"/>
        <v>#NAME?</v>
      </c>
      <c r="U95" s="43" t="e">
        <f t="shared" ca="1" si="20"/>
        <v>#NAME?</v>
      </c>
      <c r="V95" s="43" t="e">
        <f t="shared" ca="1" si="20"/>
        <v>#NAME?</v>
      </c>
      <c r="W95" s="43" t="e">
        <f t="shared" ca="1" si="20"/>
        <v>#NAME?</v>
      </c>
      <c r="X95" s="43" t="e">
        <f t="shared" ca="1" si="20"/>
        <v>#NAME?</v>
      </c>
      <c r="Y95" s="43" t="e">
        <f t="shared" ca="1" si="20"/>
        <v>#NAME?</v>
      </c>
      <c r="Z95" s="43" t="e">
        <f t="shared" ca="1" si="20"/>
        <v>#NAME?</v>
      </c>
      <c r="AA95" s="43" t="e">
        <f t="shared" ca="1" si="20"/>
        <v>#NAME?</v>
      </c>
      <c r="AB95" s="43" t="e">
        <f t="shared" ca="1" si="20"/>
        <v>#NAME?</v>
      </c>
      <c r="AC95" s="43" t="e">
        <f t="shared" ca="1" si="20"/>
        <v>#NAME?</v>
      </c>
      <c r="AD95" s="43" t="e">
        <f t="shared" ca="1" si="20"/>
        <v>#NAME?</v>
      </c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</row>
    <row r="96" spans="1:66" x14ac:dyDescent="0.35">
      <c r="C96" s="60"/>
      <c r="D96" s="18"/>
      <c r="E96" s="18"/>
    </row>
    <row r="97" spans="2:66" x14ac:dyDescent="0.35">
      <c r="B97" s="17" t="s">
        <v>55</v>
      </c>
      <c r="C97" s="17" t="s">
        <v>115</v>
      </c>
      <c r="D97" s="7"/>
      <c r="E97" s="7"/>
      <c r="G97" s="18">
        <f>G51</f>
        <v>17.640691669387465</v>
      </c>
      <c r="H97" s="18">
        <f t="shared" ref="H97:AD97" si="21">H51</f>
        <v>17.993505502775214</v>
      </c>
      <c r="I97" s="18">
        <f t="shared" si="21"/>
        <v>18.353375612830721</v>
      </c>
      <c r="J97" s="18">
        <f t="shared" si="21"/>
        <v>18.720443125087336</v>
      </c>
      <c r="K97" s="18">
        <f t="shared" si="21"/>
        <v>19.094851987589085</v>
      </c>
      <c r="L97" s="18">
        <f t="shared" si="21"/>
        <v>19.476749027340865</v>
      </c>
      <c r="M97" s="18">
        <f t="shared" si="21"/>
        <v>19.866284007887685</v>
      </c>
      <c r="N97" s="18">
        <f t="shared" si="21"/>
        <v>20.263609688045438</v>
      </c>
      <c r="O97" s="18">
        <f t="shared" si="21"/>
        <v>20.66888188180635</v>
      </c>
      <c r="P97" s="18">
        <f t="shared" si="21"/>
        <v>21.082259519442474</v>
      </c>
      <c r="Q97" s="18">
        <f t="shared" si="21"/>
        <v>21.503904709831325</v>
      </c>
      <c r="R97" s="18">
        <f t="shared" si="21"/>
        <v>21.933982804027952</v>
      </c>
      <c r="S97" s="18">
        <f t="shared" si="21"/>
        <v>22.372662460108511</v>
      </c>
      <c r="T97" s="18">
        <f t="shared" si="21"/>
        <v>22.820115709310681</v>
      </c>
      <c r="U97" s="18">
        <f t="shared" si="21"/>
        <v>23.276518023496898</v>
      </c>
      <c r="V97" s="18">
        <f t="shared" si="21"/>
        <v>23.742048383966832</v>
      </c>
      <c r="W97" s="18">
        <f t="shared" si="21"/>
        <v>24.21688935164617</v>
      </c>
      <c r="X97" s="18">
        <f t="shared" si="21"/>
        <v>24.701227138679094</v>
      </c>
      <c r="Y97" s="18">
        <f t="shared" si="21"/>
        <v>25.195251681452675</v>
      </c>
      <c r="Z97" s="18">
        <f t="shared" si="21"/>
        <v>25.699156715081727</v>
      </c>
      <c r="AA97" s="18">
        <f t="shared" si="21"/>
        <v>26.213139849383364</v>
      </c>
      <c r="AB97" s="18">
        <f t="shared" si="21"/>
        <v>26.737402646371031</v>
      </c>
      <c r="AC97" s="18">
        <f t="shared" si="21"/>
        <v>27.27215069929845</v>
      </c>
      <c r="AD97" s="18">
        <f t="shared" si="21"/>
        <v>27.817593713284417</v>
      </c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</row>
    <row r="98" spans="2:66" x14ac:dyDescent="0.35">
      <c r="C98" s="60"/>
      <c r="D98" s="18"/>
      <c r="E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</row>
    <row r="99" spans="2:66" x14ac:dyDescent="0.35">
      <c r="B99" s="17" t="s">
        <v>143</v>
      </c>
      <c r="C99" s="17" t="s">
        <v>115</v>
      </c>
      <c r="D99" s="7"/>
      <c r="E99" s="7"/>
      <c r="G99" s="18">
        <f t="shared" ref="G99:AD99" si="22">G53</f>
        <v>180</v>
      </c>
      <c r="H99" s="18" t="e">
        <f t="shared" ca="1" si="22"/>
        <v>#NAME?</v>
      </c>
      <c r="I99" s="18" t="e">
        <f t="shared" ca="1" si="22"/>
        <v>#NAME?</v>
      </c>
      <c r="J99" s="18" t="e">
        <f t="shared" ca="1" si="22"/>
        <v>#NAME?</v>
      </c>
      <c r="K99" s="18" t="e">
        <f t="shared" ca="1" si="22"/>
        <v>#NAME?</v>
      </c>
      <c r="L99" s="18" t="e">
        <f t="shared" ca="1" si="22"/>
        <v>#NAME?</v>
      </c>
      <c r="M99" s="18" t="e">
        <f t="shared" ca="1" si="22"/>
        <v>#NAME?</v>
      </c>
      <c r="N99" s="18" t="e">
        <f t="shared" ca="1" si="22"/>
        <v>#NAME?</v>
      </c>
      <c r="O99" s="18" t="e">
        <f t="shared" ca="1" si="22"/>
        <v>#NAME?</v>
      </c>
      <c r="P99" s="18" t="e">
        <f t="shared" ca="1" si="22"/>
        <v>#NAME?</v>
      </c>
      <c r="Q99" s="18" t="e">
        <f t="shared" ca="1" si="22"/>
        <v>#NAME?</v>
      </c>
      <c r="R99" s="18" t="e">
        <f t="shared" ca="1" si="22"/>
        <v>#NAME?</v>
      </c>
      <c r="S99" s="18" t="e">
        <f t="shared" ca="1" si="22"/>
        <v>#NAME?</v>
      </c>
      <c r="T99" s="18" t="e">
        <f t="shared" ca="1" si="22"/>
        <v>#NAME?</v>
      </c>
      <c r="U99" s="18" t="e">
        <f t="shared" ca="1" si="22"/>
        <v>#NAME?</v>
      </c>
      <c r="V99" s="18" t="e">
        <f t="shared" ca="1" si="22"/>
        <v>#NAME?</v>
      </c>
      <c r="W99" s="18" t="e">
        <f t="shared" ca="1" si="22"/>
        <v>#NAME?</v>
      </c>
      <c r="X99" s="18" t="e">
        <f t="shared" ca="1" si="22"/>
        <v>#NAME?</v>
      </c>
      <c r="Y99" s="18" t="e">
        <f t="shared" ca="1" si="22"/>
        <v>#NAME?</v>
      </c>
      <c r="Z99" s="18" t="e">
        <f t="shared" ca="1" si="22"/>
        <v>#NAME?</v>
      </c>
      <c r="AA99" s="18" t="e">
        <f t="shared" ca="1" si="22"/>
        <v>#NAME?</v>
      </c>
      <c r="AB99" s="18" t="e">
        <f t="shared" ca="1" si="22"/>
        <v>#NAME?</v>
      </c>
      <c r="AC99" s="18" t="e">
        <f t="shared" ca="1" si="22"/>
        <v>#NAME?</v>
      </c>
      <c r="AD99" s="18" t="e">
        <f t="shared" ca="1" si="22"/>
        <v>#NAME?</v>
      </c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</row>
    <row r="100" spans="2:66" x14ac:dyDescent="0.35">
      <c r="C100" s="1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</row>
    <row r="101" spans="2:66" x14ac:dyDescent="0.35">
      <c r="B101" s="4" t="s">
        <v>48</v>
      </c>
      <c r="C101" s="17" t="s">
        <v>115</v>
      </c>
      <c r="D101" s="7"/>
      <c r="E101" s="7"/>
      <c r="G101" s="43" t="e">
        <f t="shared" ref="G101:AD101" ca="1" si="23">G95+G97+G99</f>
        <v>#NAME?</v>
      </c>
      <c r="H101" s="43" t="e">
        <f t="shared" ca="1" si="23"/>
        <v>#NAME?</v>
      </c>
      <c r="I101" s="43" t="e">
        <f t="shared" ca="1" si="23"/>
        <v>#NAME?</v>
      </c>
      <c r="J101" s="43" t="e">
        <f t="shared" ca="1" si="23"/>
        <v>#NAME?</v>
      </c>
      <c r="K101" s="43" t="e">
        <f t="shared" ca="1" si="23"/>
        <v>#NAME?</v>
      </c>
      <c r="L101" s="43" t="e">
        <f t="shared" ca="1" si="23"/>
        <v>#NAME?</v>
      </c>
      <c r="M101" s="43" t="e">
        <f t="shared" ca="1" si="23"/>
        <v>#NAME?</v>
      </c>
      <c r="N101" s="43" t="e">
        <f t="shared" ca="1" si="23"/>
        <v>#NAME?</v>
      </c>
      <c r="O101" s="43" t="e">
        <f t="shared" ca="1" si="23"/>
        <v>#NAME?</v>
      </c>
      <c r="P101" s="43" t="e">
        <f t="shared" ca="1" si="23"/>
        <v>#NAME?</v>
      </c>
      <c r="Q101" s="43" t="e">
        <f t="shared" ca="1" si="23"/>
        <v>#NAME?</v>
      </c>
      <c r="R101" s="43" t="e">
        <f t="shared" ca="1" si="23"/>
        <v>#NAME?</v>
      </c>
      <c r="S101" s="43" t="e">
        <f t="shared" ca="1" si="23"/>
        <v>#NAME?</v>
      </c>
      <c r="T101" s="43" t="e">
        <f t="shared" ca="1" si="23"/>
        <v>#NAME?</v>
      </c>
      <c r="U101" s="43" t="e">
        <f t="shared" ca="1" si="23"/>
        <v>#NAME?</v>
      </c>
      <c r="V101" s="43" t="e">
        <f t="shared" ca="1" si="23"/>
        <v>#NAME?</v>
      </c>
      <c r="W101" s="43" t="e">
        <f t="shared" ca="1" si="23"/>
        <v>#NAME?</v>
      </c>
      <c r="X101" s="43" t="e">
        <f t="shared" ca="1" si="23"/>
        <v>#NAME?</v>
      </c>
      <c r="Y101" s="43" t="e">
        <f t="shared" ca="1" si="23"/>
        <v>#NAME?</v>
      </c>
      <c r="Z101" s="43" t="e">
        <f t="shared" ca="1" si="23"/>
        <v>#NAME?</v>
      </c>
      <c r="AA101" s="43" t="e">
        <f t="shared" ca="1" si="23"/>
        <v>#NAME?</v>
      </c>
      <c r="AB101" s="43" t="e">
        <f t="shared" ca="1" si="23"/>
        <v>#NAME?</v>
      </c>
      <c r="AC101" s="43" t="e">
        <f t="shared" ca="1" si="23"/>
        <v>#NAME?</v>
      </c>
      <c r="AD101" s="43" t="e">
        <f t="shared" ca="1" si="23"/>
        <v>#NAME?</v>
      </c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</row>
    <row r="102" spans="2:66" x14ac:dyDescent="0.35">
      <c r="C102" s="1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</row>
    <row r="103" spans="2:66" x14ac:dyDescent="0.35">
      <c r="B103" s="44" t="s">
        <v>138</v>
      </c>
      <c r="C103" s="17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</row>
    <row r="104" spans="2:66" x14ac:dyDescent="0.35">
      <c r="B104" s="12" t="s">
        <v>131</v>
      </c>
      <c r="C104" s="17" t="s">
        <v>115</v>
      </c>
      <c r="G104" s="18">
        <f>'Supplementary inputs'!$F16*G$35*G$37</f>
        <v>603.93158060359372</v>
      </c>
      <c r="H104" s="18">
        <f>'Supplementary inputs'!$F16*H$35*H$37</f>
        <v>609.85011009350887</v>
      </c>
      <c r="I104" s="18">
        <f>'Supplementary inputs'!$F16*I$35*I$37</f>
        <v>615.8266411724253</v>
      </c>
      <c r="J104" s="18">
        <f>'Supplementary inputs'!$F16*J$35*J$37</f>
        <v>621.86174225591503</v>
      </c>
      <c r="K104" s="18">
        <f>'Supplementary inputs'!$F16*K$35*K$37</f>
        <v>627.95598733002305</v>
      </c>
      <c r="L104" s="18">
        <f>'Supplementary inputs'!$F16*L$35*L$37</f>
        <v>634.10995600585738</v>
      </c>
      <c r="M104" s="18">
        <f>'Supplementary inputs'!$F16*M$35*M$37</f>
        <v>641.94121396252967</v>
      </c>
      <c r="N104" s="18">
        <f>'Supplementary inputs'!$F16*N$35*N$37</f>
        <v>649.86918795496706</v>
      </c>
      <c r="O104" s="18">
        <f>'Supplementary inputs'!$F16*O$35*O$37</f>
        <v>657.89507242621096</v>
      </c>
      <c r="P104" s="18">
        <f>'Supplementary inputs'!$F16*P$35*P$37</f>
        <v>666.02007657067463</v>
      </c>
      <c r="Q104" s="18">
        <f>'Supplementary inputs'!$F16*Q$35*Q$37</f>
        <v>674.24542451632249</v>
      </c>
      <c r="R104" s="18">
        <f>'Supplementary inputs'!$F16*R$35*R$37</f>
        <v>682.57235550909922</v>
      </c>
      <c r="S104" s="18">
        <f>'Supplementary inputs'!$F16*S$35*S$37</f>
        <v>691.00212409963649</v>
      </c>
      <c r="T104" s="18">
        <f>'Supplementary inputs'!$F16*T$35*T$37</f>
        <v>699.53600033226712</v>
      </c>
      <c r="U104" s="18">
        <f>'Supplementary inputs'!$F16*U$35*U$37</f>
        <v>708.17526993637068</v>
      </c>
      <c r="V104" s="18">
        <f>'Supplementary inputs'!$F16*V$35*V$37</f>
        <v>716.92123452008491</v>
      </c>
      <c r="W104" s="18">
        <f>'Supplementary inputs'!$F16*W$35*W$37</f>
        <v>725.77521176640789</v>
      </c>
      <c r="X104" s="18">
        <f>'Supplementary inputs'!$F16*X$35*X$37</f>
        <v>734.73853563172315</v>
      </c>
      <c r="Y104" s="18">
        <f>'Supplementary inputs'!$F16*Y$35*Y$37</f>
        <v>743.81255654677511</v>
      </c>
      <c r="Z104" s="18">
        <f>'Supplementary inputs'!$F16*Z$35*Z$37</f>
        <v>752.99864162012773</v>
      </c>
      <c r="AA104" s="18">
        <f>'Supplementary inputs'!$F16*AA$35*AA$37</f>
        <v>762.29817484413638</v>
      </c>
      <c r="AB104" s="18">
        <f>'Supplementary inputs'!$F16*AB$35*AB$37</f>
        <v>771.71255730346138</v>
      </c>
      <c r="AC104" s="18">
        <f>'Supplementary inputs'!$F16*AC$35*AC$37</f>
        <v>781.24320738615927</v>
      </c>
      <c r="AD104" s="18">
        <f>'Supplementary inputs'!$F16*AD$35*AD$37</f>
        <v>790.89156099737841</v>
      </c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</row>
    <row r="105" spans="2:66" x14ac:dyDescent="0.35">
      <c r="B105" s="12" t="s">
        <v>45</v>
      </c>
      <c r="C105" s="17" t="s">
        <v>115</v>
      </c>
      <c r="G105" s="18">
        <f>'Supplementary inputs'!$F17*G$35*G$37</f>
        <v>184.40549117750993</v>
      </c>
      <c r="H105" s="18">
        <f>'Supplementary inputs'!$F17*H$35*H$37</f>
        <v>186.21266499104956</v>
      </c>
      <c r="I105" s="18">
        <f>'Supplementary inputs'!$F17*I$35*I$37</f>
        <v>188.03754910796184</v>
      </c>
      <c r="J105" s="18">
        <f>'Supplementary inputs'!$F17*J$35*J$37</f>
        <v>189.88031708921989</v>
      </c>
      <c r="K105" s="18">
        <f>'Supplementary inputs'!$F17*K$35*K$37</f>
        <v>191.74114419669425</v>
      </c>
      <c r="L105" s="18">
        <f>'Supplementary inputs'!$F17*L$35*L$37</f>
        <v>193.62020740982183</v>
      </c>
      <c r="M105" s="18">
        <f>'Supplementary inputs'!$F17*M$35*M$37</f>
        <v>196.01141697133318</v>
      </c>
      <c r="N105" s="18">
        <f>'Supplementary inputs'!$F17*N$35*N$37</f>
        <v>198.43215797092913</v>
      </c>
      <c r="O105" s="18">
        <f>'Supplementary inputs'!$F17*O$35*O$37</f>
        <v>200.88279512187015</v>
      </c>
      <c r="P105" s="18">
        <f>'Supplementary inputs'!$F17*P$35*P$37</f>
        <v>203.36369764162524</v>
      </c>
      <c r="Q105" s="18">
        <f>'Supplementary inputs'!$F17*Q$35*Q$37</f>
        <v>205.8752393074993</v>
      </c>
      <c r="R105" s="18">
        <f>'Supplementary inputs'!$F17*R$35*R$37</f>
        <v>208.41779851294694</v>
      </c>
      <c r="S105" s="18">
        <f>'Supplementary inputs'!$F17*S$35*S$37</f>
        <v>210.99175832458184</v>
      </c>
      <c r="T105" s="18">
        <f>'Supplementary inputs'!$F17*T$35*T$37</f>
        <v>213.59750653989045</v>
      </c>
      <c r="U105" s="18">
        <f>'Supplementary inputs'!$F17*U$35*U$37</f>
        <v>216.23543574565812</v>
      </c>
      <c r="V105" s="18">
        <f>'Supplementary inputs'!$F17*V$35*V$37</f>
        <v>218.90594337711701</v>
      </c>
      <c r="W105" s="18">
        <f>'Supplementary inputs'!$F17*W$35*W$37</f>
        <v>221.6094317778244</v>
      </c>
      <c r="X105" s="18">
        <f>'Supplementary inputs'!$F17*X$35*X$37</f>
        <v>224.34630826028058</v>
      </c>
      <c r="Y105" s="18">
        <f>'Supplementary inputs'!$F17*Y$35*Y$37</f>
        <v>227.11698516729504</v>
      </c>
      <c r="Z105" s="18">
        <f>'Supplementary inputs'!$F17*Z$35*Z$37</f>
        <v>229.92187993411119</v>
      </c>
      <c r="AA105" s="18">
        <f>'Supplementary inputs'!$F17*AA$35*AA$37</f>
        <v>232.76141515129746</v>
      </c>
      <c r="AB105" s="18">
        <f>'Supplementary inputs'!$F17*AB$35*AB$37</f>
        <v>235.63601862841597</v>
      </c>
      <c r="AC105" s="18">
        <f>'Supplementary inputs'!$F17*AC$35*AC$37</f>
        <v>238.54612345847693</v>
      </c>
      <c r="AD105" s="18">
        <f>'Supplementary inputs'!$F17*AD$35*AD$37</f>
        <v>241.49216808318911</v>
      </c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</row>
    <row r="106" spans="2:66" x14ac:dyDescent="0.35">
      <c r="B106" s="12" t="s">
        <v>132</v>
      </c>
      <c r="C106" s="17" t="s">
        <v>115</v>
      </c>
      <c r="G106" s="18">
        <f>'Supplementary inputs'!$F18*G$35*G$37</f>
        <v>35.007404391147425</v>
      </c>
      <c r="H106" s="18">
        <f>'Supplementary inputs'!$F18*H$35*H$37</f>
        <v>35.350476954180671</v>
      </c>
      <c r="I106" s="18">
        <f>'Supplementary inputs'!$F18*I$35*I$37</f>
        <v>35.696911628331641</v>
      </c>
      <c r="J106" s="18">
        <f>'Supplementary inputs'!$F18*J$35*J$37</f>
        <v>36.046741362289296</v>
      </c>
      <c r="K106" s="18">
        <f>'Supplementary inputs'!$F18*K$35*K$37</f>
        <v>36.399999427639735</v>
      </c>
      <c r="L106" s="18">
        <f>'Supplementary inputs'!$F18*L$35*L$37</f>
        <v>36.756719422030599</v>
      </c>
      <c r="M106" s="18">
        <f>'Supplementary inputs'!$F18*M$35*M$37</f>
        <v>37.210664906892674</v>
      </c>
      <c r="N106" s="18">
        <f>'Supplementary inputs'!$F18*N$35*N$37</f>
        <v>37.670216618492809</v>
      </c>
      <c r="O106" s="18">
        <f>'Supplementary inputs'!$F18*O$35*O$37</f>
        <v>38.135443793731199</v>
      </c>
      <c r="P106" s="18">
        <f>'Supplementary inputs'!$F18*P$35*P$37</f>
        <v>38.606416524583778</v>
      </c>
      <c r="Q106" s="18">
        <f>'Supplementary inputs'!$F18*Q$35*Q$37</f>
        <v>39.083205768662388</v>
      </c>
      <c r="R106" s="18">
        <f>'Supplementary inputs'!$F18*R$35*R$37</f>
        <v>39.565883359905371</v>
      </c>
      <c r="S106" s="18">
        <f>'Supplementary inputs'!$F18*S$35*S$37</f>
        <v>40.054522019400203</v>
      </c>
      <c r="T106" s="18">
        <f>'Supplementary inputs'!$F18*T$35*T$37</f>
        <v>40.549195366339802</v>
      </c>
      <c r="U106" s="18">
        <f>'Supplementary inputs'!$F18*U$35*U$37</f>
        <v>41.0499779291141</v>
      </c>
      <c r="V106" s="18">
        <f>'Supplementary inputs'!$F18*V$35*V$37</f>
        <v>41.55694515653866</v>
      </c>
      <c r="W106" s="18">
        <f>'Supplementary inputs'!$F18*W$35*W$37</f>
        <v>42.070173429221924</v>
      </c>
      <c r="X106" s="18">
        <f>'Supplementary inputs'!$F18*X$35*X$37</f>
        <v>42.589740071072818</v>
      </c>
      <c r="Y106" s="18">
        <f>'Supplementary inputs'!$F18*Y$35*Y$37</f>
        <v>43.115723360950568</v>
      </c>
      <c r="Z106" s="18">
        <f>'Supplementary inputs'!$F18*Z$35*Z$37</f>
        <v>43.648202544458307</v>
      </c>
      <c r="AA106" s="18">
        <f>'Supplementary inputs'!$F18*AA$35*AA$37</f>
        <v>44.187257845882371</v>
      </c>
      <c r="AB106" s="18">
        <f>'Supplementary inputs'!$F18*AB$35*AB$37</f>
        <v>44.732970480279015</v>
      </c>
      <c r="AC106" s="18">
        <f>'Supplementary inputs'!$F18*AC$35*AC$37</f>
        <v>45.285422665710463</v>
      </c>
      <c r="AD106" s="18">
        <f>'Supplementary inputs'!$F18*AD$35*AD$37</f>
        <v>45.844697635631995</v>
      </c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</row>
    <row r="107" spans="2:66" x14ac:dyDescent="0.35">
      <c r="B107" s="12" t="s">
        <v>133</v>
      </c>
      <c r="C107" s="17" t="s">
        <v>115</v>
      </c>
      <c r="G107" s="18">
        <f>'Supplementary inputs'!$F19*G$37</f>
        <v>148.5</v>
      </c>
      <c r="H107" s="18">
        <f>'Supplementary inputs'!$F19*H$37</f>
        <v>147.01499999999999</v>
      </c>
      <c r="I107" s="18">
        <f>'Supplementary inputs'!$F19*I$37</f>
        <v>145.54485</v>
      </c>
      <c r="J107" s="18">
        <f>'Supplementary inputs'!$F19*J$37</f>
        <v>144.08940149999998</v>
      </c>
      <c r="K107" s="18">
        <f>'Supplementary inputs'!$F19*K$37</f>
        <v>142.64850748499998</v>
      </c>
      <c r="L107" s="18">
        <f>'Supplementary inputs'!$F19*L$37</f>
        <v>141.22202241014998</v>
      </c>
      <c r="M107" s="18">
        <f>'Supplementary inputs'!$F19*M$37</f>
        <v>140.16285724207387</v>
      </c>
      <c r="N107" s="18">
        <f>'Supplementary inputs'!$F19*N$37</f>
        <v>139.11163581275832</v>
      </c>
      <c r="O107" s="18">
        <f>'Supplementary inputs'!$F19*O$37</f>
        <v>138.06829854416264</v>
      </c>
      <c r="P107" s="18">
        <f>'Supplementary inputs'!$F19*P$37</f>
        <v>137.03278630508143</v>
      </c>
      <c r="Q107" s="18">
        <f>'Supplementary inputs'!$F19*Q$37</f>
        <v>136.00504040779333</v>
      </c>
      <c r="R107" s="18">
        <f>'Supplementary inputs'!$F19*R$37</f>
        <v>134.98500260473489</v>
      </c>
      <c r="S107" s="18">
        <f>'Supplementary inputs'!$F19*S$37</f>
        <v>133.97261508519938</v>
      </c>
      <c r="T107" s="18">
        <f>'Supplementary inputs'!$F19*T$37</f>
        <v>132.9678204720604</v>
      </c>
      <c r="U107" s="18">
        <f>'Supplementary inputs'!$F19*U$37</f>
        <v>131.97056181851994</v>
      </c>
      <c r="V107" s="18">
        <f>'Supplementary inputs'!$F19*V$37</f>
        <v>130.98078260488106</v>
      </c>
      <c r="W107" s="18">
        <f>'Supplementary inputs'!$F19*W$37</f>
        <v>129.99842673534445</v>
      </c>
      <c r="X107" s="18">
        <f>'Supplementary inputs'!$F19*X$37</f>
        <v>129.02343853482938</v>
      </c>
      <c r="Y107" s="18">
        <f>'Supplementary inputs'!$F19*Y$37</f>
        <v>128.05576274581819</v>
      </c>
      <c r="Z107" s="18">
        <f>'Supplementary inputs'!$F19*Z$37</f>
        <v>127.09534452522455</v>
      </c>
      <c r="AA107" s="18">
        <f>'Supplementary inputs'!$F19*AA$37</f>
        <v>126.14212944128536</v>
      </c>
      <c r="AB107" s="18">
        <f>'Supplementary inputs'!$F19*AB$37</f>
        <v>125.19606347047574</v>
      </c>
      <c r="AC107" s="18">
        <f>'Supplementary inputs'!$F19*AC$37</f>
        <v>124.25709299444718</v>
      </c>
      <c r="AD107" s="18">
        <f>'Supplementary inputs'!$F19*AD$37</f>
        <v>123.32516479698883</v>
      </c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</row>
    <row r="108" spans="2:66" x14ac:dyDescent="0.35">
      <c r="B108" s="12" t="s">
        <v>46</v>
      </c>
      <c r="C108" s="17" t="s">
        <v>115</v>
      </c>
      <c r="G108" s="18">
        <f>G37*SUMPRODUCT($G$22:G22,$G$24:G24)</f>
        <v>5.3459999999999992</v>
      </c>
      <c r="H108" s="18" t="e">
        <f ca="1">H37*SUMPRODUCT($G$22:H22,$G$24:H24)</f>
        <v>#NAME?</v>
      </c>
      <c r="I108" s="18" t="e">
        <f ca="1">I37*SUMPRODUCT($G$22:I22,$G$24:I24)</f>
        <v>#NAME?</v>
      </c>
      <c r="J108" s="18" t="e">
        <f ca="1">J37*SUMPRODUCT($G$22:J22,$G$24:J24)</f>
        <v>#NAME?</v>
      </c>
      <c r="K108" s="18" t="e">
        <f ca="1">K37*SUMPRODUCT($G$22:K22,$G$24:K24)</f>
        <v>#NAME?</v>
      </c>
      <c r="L108" s="18" t="e">
        <f ca="1">L37*SUMPRODUCT($G$22:L22,$G$24:L24)</f>
        <v>#NAME?</v>
      </c>
      <c r="M108" s="18" t="e">
        <f ca="1">M37*SUMPRODUCT($G$22:M22,$G$24:M24)</f>
        <v>#NAME?</v>
      </c>
      <c r="N108" s="18" t="e">
        <f ca="1">N37*SUMPRODUCT($G$22:N22,$G$24:N24)</f>
        <v>#NAME?</v>
      </c>
      <c r="O108" s="18" t="e">
        <f ca="1">O37*SUMPRODUCT($G$22:O22,$G$24:O24)</f>
        <v>#NAME?</v>
      </c>
      <c r="P108" s="18" t="e">
        <f ca="1">P37*SUMPRODUCT($G$22:P22,$G$24:P24)</f>
        <v>#NAME?</v>
      </c>
      <c r="Q108" s="18" t="e">
        <f ca="1">Q37*SUMPRODUCT($G$22:Q22,$G$24:Q24)</f>
        <v>#NAME?</v>
      </c>
      <c r="R108" s="18" t="e">
        <f ca="1">R37*SUMPRODUCT($G$22:R22,$G$24:R24)</f>
        <v>#NAME?</v>
      </c>
      <c r="S108" s="18" t="e">
        <f ca="1">S37*SUMPRODUCT($G$22:S22,$G$24:S24)</f>
        <v>#NAME?</v>
      </c>
      <c r="T108" s="18" t="e">
        <f ca="1">T37*SUMPRODUCT($G$22:T22,$G$24:T24)</f>
        <v>#NAME?</v>
      </c>
      <c r="U108" s="18" t="e">
        <f ca="1">U37*SUMPRODUCT($G$22:U22,$G$24:U24)</f>
        <v>#NAME?</v>
      </c>
      <c r="V108" s="18" t="e">
        <f ca="1">V37*SUMPRODUCT($G$22:V22,$G$24:V24)</f>
        <v>#NAME?</v>
      </c>
      <c r="W108" s="18" t="e">
        <f ca="1">W37*SUMPRODUCT($G$22:W22,$G$24:W24)</f>
        <v>#NAME?</v>
      </c>
      <c r="X108" s="18" t="e">
        <f ca="1">X37*SUMPRODUCT($G$22:X22,$G$24:X24)</f>
        <v>#NAME?</v>
      </c>
      <c r="Y108" s="18" t="e">
        <f ca="1">Y37*SUMPRODUCT($G$22:Y22,$G$24:Y24)</f>
        <v>#NAME?</v>
      </c>
      <c r="Z108" s="18" t="e">
        <f ca="1">Z37*SUMPRODUCT($G$22:Z22,$G$24:Z24)</f>
        <v>#NAME?</v>
      </c>
      <c r="AA108" s="18" t="e">
        <f ca="1">AA37*SUMPRODUCT($G$22:AA22,$G$24:AA24)</f>
        <v>#NAME?</v>
      </c>
      <c r="AB108" s="18" t="e">
        <f ca="1">AB37*SUMPRODUCT($G$22:AB22,$G$24:AB24)</f>
        <v>#NAME?</v>
      </c>
      <c r="AC108" s="18" t="e">
        <f ca="1">AC37*SUMPRODUCT($G$22:AC22,$G$24:AC24)</f>
        <v>#NAME?</v>
      </c>
      <c r="AD108" s="18" t="e">
        <f ca="1">AD37*SUMPRODUCT($G$22:AD22,$G$24:AD24)</f>
        <v>#NAME?</v>
      </c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</row>
    <row r="109" spans="2:66" x14ac:dyDescent="0.35">
      <c r="B109" s="12" t="s">
        <v>139</v>
      </c>
      <c r="C109" s="17" t="s">
        <v>115</v>
      </c>
      <c r="G109" s="18" t="e">
        <f ca="1">G29*G35</f>
        <v>#NAME?</v>
      </c>
      <c r="H109" s="18" t="e">
        <f t="shared" ref="H109:AD109" ca="1" si="24">H29*H35</f>
        <v>#NAME?</v>
      </c>
      <c r="I109" s="18" t="e">
        <f t="shared" ca="1" si="24"/>
        <v>#NAME?</v>
      </c>
      <c r="J109" s="18" t="e">
        <f t="shared" ca="1" si="24"/>
        <v>#NAME?</v>
      </c>
      <c r="K109" s="18" t="e">
        <f t="shared" ca="1" si="24"/>
        <v>#NAME?</v>
      </c>
      <c r="L109" s="18" t="e">
        <f t="shared" ca="1" si="24"/>
        <v>#NAME?</v>
      </c>
      <c r="M109" s="18" t="e">
        <f t="shared" ca="1" si="24"/>
        <v>#NAME?</v>
      </c>
      <c r="N109" s="18" t="e">
        <f t="shared" ca="1" si="24"/>
        <v>#NAME?</v>
      </c>
      <c r="O109" s="18" t="e">
        <f t="shared" ca="1" si="24"/>
        <v>#NAME?</v>
      </c>
      <c r="P109" s="18" t="e">
        <f t="shared" ca="1" si="24"/>
        <v>#NAME?</v>
      </c>
      <c r="Q109" s="18" t="e">
        <f t="shared" ca="1" si="24"/>
        <v>#NAME?</v>
      </c>
      <c r="R109" s="18" t="e">
        <f t="shared" ca="1" si="24"/>
        <v>#NAME?</v>
      </c>
      <c r="S109" s="18" t="e">
        <f t="shared" ca="1" si="24"/>
        <v>#NAME?</v>
      </c>
      <c r="T109" s="18" t="e">
        <f t="shared" ca="1" si="24"/>
        <v>#NAME?</v>
      </c>
      <c r="U109" s="18" t="e">
        <f t="shared" ca="1" si="24"/>
        <v>#NAME?</v>
      </c>
      <c r="V109" s="18" t="e">
        <f t="shared" ca="1" si="24"/>
        <v>#NAME?</v>
      </c>
      <c r="W109" s="18" t="e">
        <f t="shared" ca="1" si="24"/>
        <v>#NAME?</v>
      </c>
      <c r="X109" s="18" t="e">
        <f t="shared" ca="1" si="24"/>
        <v>#NAME?</v>
      </c>
      <c r="Y109" s="18" t="e">
        <f t="shared" ca="1" si="24"/>
        <v>#NAME?</v>
      </c>
      <c r="Z109" s="18" t="e">
        <f t="shared" ca="1" si="24"/>
        <v>#NAME?</v>
      </c>
      <c r="AA109" s="18" t="e">
        <f t="shared" ca="1" si="24"/>
        <v>#NAME?</v>
      </c>
      <c r="AB109" s="18" t="e">
        <f t="shared" ca="1" si="24"/>
        <v>#NAME?</v>
      </c>
      <c r="AC109" s="18" t="e">
        <f t="shared" ca="1" si="24"/>
        <v>#NAME?</v>
      </c>
      <c r="AD109" s="18" t="e">
        <f t="shared" ca="1" si="24"/>
        <v>#NAME?</v>
      </c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</row>
    <row r="110" spans="2:66" x14ac:dyDescent="0.35">
      <c r="B110" s="9" t="s">
        <v>44</v>
      </c>
      <c r="C110" s="17" t="s">
        <v>115</v>
      </c>
      <c r="D110" s="7"/>
      <c r="E110" s="7"/>
      <c r="G110" s="18" t="e">
        <f ca="1">-SUM(G104:G109)</f>
        <v>#NAME?</v>
      </c>
      <c r="H110" s="18" t="e">
        <f t="shared" ref="H110:AD110" ca="1" si="25">-SUM(H104:H109)</f>
        <v>#NAME?</v>
      </c>
      <c r="I110" s="18" t="e">
        <f t="shared" ca="1" si="25"/>
        <v>#NAME?</v>
      </c>
      <c r="J110" s="18" t="e">
        <f t="shared" ca="1" si="25"/>
        <v>#NAME?</v>
      </c>
      <c r="K110" s="18" t="e">
        <f t="shared" ca="1" si="25"/>
        <v>#NAME?</v>
      </c>
      <c r="L110" s="18" t="e">
        <f t="shared" ca="1" si="25"/>
        <v>#NAME?</v>
      </c>
      <c r="M110" s="18" t="e">
        <f t="shared" ca="1" si="25"/>
        <v>#NAME?</v>
      </c>
      <c r="N110" s="18" t="e">
        <f t="shared" ca="1" si="25"/>
        <v>#NAME?</v>
      </c>
      <c r="O110" s="18" t="e">
        <f t="shared" ca="1" si="25"/>
        <v>#NAME?</v>
      </c>
      <c r="P110" s="18" t="e">
        <f t="shared" ca="1" si="25"/>
        <v>#NAME?</v>
      </c>
      <c r="Q110" s="18" t="e">
        <f t="shared" ca="1" si="25"/>
        <v>#NAME?</v>
      </c>
      <c r="R110" s="18" t="e">
        <f t="shared" ca="1" si="25"/>
        <v>#NAME?</v>
      </c>
      <c r="S110" s="18" t="e">
        <f t="shared" ca="1" si="25"/>
        <v>#NAME?</v>
      </c>
      <c r="T110" s="18" t="e">
        <f t="shared" ca="1" si="25"/>
        <v>#NAME?</v>
      </c>
      <c r="U110" s="18" t="e">
        <f t="shared" ca="1" si="25"/>
        <v>#NAME?</v>
      </c>
      <c r="V110" s="18" t="e">
        <f t="shared" ca="1" si="25"/>
        <v>#NAME?</v>
      </c>
      <c r="W110" s="18" t="e">
        <f t="shared" ca="1" si="25"/>
        <v>#NAME?</v>
      </c>
      <c r="X110" s="18" t="e">
        <f t="shared" ca="1" si="25"/>
        <v>#NAME?</v>
      </c>
      <c r="Y110" s="18" t="e">
        <f t="shared" ca="1" si="25"/>
        <v>#NAME?</v>
      </c>
      <c r="Z110" s="18" t="e">
        <f t="shared" ca="1" si="25"/>
        <v>#NAME?</v>
      </c>
      <c r="AA110" s="18" t="e">
        <f t="shared" ca="1" si="25"/>
        <v>#NAME?</v>
      </c>
      <c r="AB110" s="18" t="e">
        <f t="shared" ca="1" si="25"/>
        <v>#NAME?</v>
      </c>
      <c r="AC110" s="18" t="e">
        <f t="shared" ca="1" si="25"/>
        <v>#NAME?</v>
      </c>
      <c r="AD110" s="18" t="e">
        <f t="shared" ca="1" si="25"/>
        <v>#NAME?</v>
      </c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</row>
    <row r="111" spans="2:66" x14ac:dyDescent="0.35">
      <c r="C111" s="17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2:66" x14ac:dyDescent="0.35">
      <c r="B112" s="33" t="s">
        <v>144</v>
      </c>
      <c r="C112" s="17" t="s">
        <v>115</v>
      </c>
      <c r="D112" s="7"/>
      <c r="E112" s="7"/>
      <c r="F112" s="18">
        <v>-531.84847911241422</v>
      </c>
      <c r="G112" s="18" t="e">
        <f ca="1">-G110-G101+G116</f>
        <v>#NAME?</v>
      </c>
      <c r="H112" s="18" t="e">
        <f t="shared" ref="H112:AD112" ca="1" si="26">-H110-H101+H116</f>
        <v>#NAME?</v>
      </c>
      <c r="I112" s="18" t="e">
        <f t="shared" ca="1" si="26"/>
        <v>#NAME?</v>
      </c>
      <c r="J112" s="18" t="e">
        <f t="shared" ca="1" si="26"/>
        <v>#NAME?</v>
      </c>
      <c r="K112" s="18" t="e">
        <f t="shared" ca="1" si="26"/>
        <v>#NAME?</v>
      </c>
      <c r="L112" s="18" t="e">
        <f t="shared" ca="1" si="26"/>
        <v>#NAME?</v>
      </c>
      <c r="M112" s="18" t="e">
        <f t="shared" ca="1" si="26"/>
        <v>#NAME?</v>
      </c>
      <c r="N112" s="18" t="e">
        <f t="shared" ca="1" si="26"/>
        <v>#NAME?</v>
      </c>
      <c r="O112" s="18" t="e">
        <f t="shared" ca="1" si="26"/>
        <v>#NAME?</v>
      </c>
      <c r="P112" s="18" t="e">
        <f t="shared" ca="1" si="26"/>
        <v>#NAME?</v>
      </c>
      <c r="Q112" s="18" t="e">
        <f t="shared" ca="1" si="26"/>
        <v>#NAME?</v>
      </c>
      <c r="R112" s="18" t="e">
        <f t="shared" ca="1" si="26"/>
        <v>#NAME?</v>
      </c>
      <c r="S112" s="18" t="e">
        <f t="shared" ca="1" si="26"/>
        <v>#NAME?</v>
      </c>
      <c r="T112" s="18" t="e">
        <f t="shared" ca="1" si="26"/>
        <v>#NAME?</v>
      </c>
      <c r="U112" s="18" t="e">
        <f t="shared" ca="1" si="26"/>
        <v>#NAME?</v>
      </c>
      <c r="V112" s="18" t="e">
        <f t="shared" ca="1" si="26"/>
        <v>#NAME?</v>
      </c>
      <c r="W112" s="18" t="e">
        <f t="shared" ca="1" si="26"/>
        <v>#NAME?</v>
      </c>
      <c r="X112" s="18" t="e">
        <f t="shared" ca="1" si="26"/>
        <v>#NAME?</v>
      </c>
      <c r="Y112" s="18" t="e">
        <f t="shared" ca="1" si="26"/>
        <v>#NAME?</v>
      </c>
      <c r="Z112" s="18" t="e">
        <f t="shared" ca="1" si="26"/>
        <v>#NAME?</v>
      </c>
      <c r="AA112" s="18" t="e">
        <f t="shared" ca="1" si="26"/>
        <v>#NAME?</v>
      </c>
      <c r="AB112" s="18" t="e">
        <f t="shared" ca="1" si="26"/>
        <v>#NAME?</v>
      </c>
      <c r="AC112" s="18" t="e">
        <f t="shared" ca="1" si="26"/>
        <v>#NAME?</v>
      </c>
      <c r="AD112" s="18" t="e">
        <f t="shared" ca="1" si="26"/>
        <v>#NAME?</v>
      </c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x14ac:dyDescent="0.35">
      <c r="C113" s="17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s="4" customFormat="1" x14ac:dyDescent="0.35">
      <c r="B114" s="4" t="s">
        <v>50</v>
      </c>
      <c r="C114" s="17" t="s">
        <v>115</v>
      </c>
      <c r="D114" s="7"/>
      <c r="E114" s="7"/>
      <c r="G114" s="43" t="e">
        <f t="shared" ref="G114:AD114" ca="1" si="27">G110+G112</f>
        <v>#NAME?</v>
      </c>
      <c r="H114" s="43" t="e">
        <f t="shared" ca="1" si="27"/>
        <v>#NAME?</v>
      </c>
      <c r="I114" s="43" t="e">
        <f t="shared" ca="1" si="27"/>
        <v>#NAME?</v>
      </c>
      <c r="J114" s="43" t="e">
        <f t="shared" ca="1" si="27"/>
        <v>#NAME?</v>
      </c>
      <c r="K114" s="43" t="e">
        <f t="shared" ca="1" si="27"/>
        <v>#NAME?</v>
      </c>
      <c r="L114" s="43" t="e">
        <f t="shared" ca="1" si="27"/>
        <v>#NAME?</v>
      </c>
      <c r="M114" s="43" t="e">
        <f t="shared" ca="1" si="27"/>
        <v>#NAME?</v>
      </c>
      <c r="N114" s="43" t="e">
        <f t="shared" ca="1" si="27"/>
        <v>#NAME?</v>
      </c>
      <c r="O114" s="43" t="e">
        <f t="shared" ca="1" si="27"/>
        <v>#NAME?</v>
      </c>
      <c r="P114" s="43" t="e">
        <f t="shared" ca="1" si="27"/>
        <v>#NAME?</v>
      </c>
      <c r="Q114" s="43" t="e">
        <f t="shared" ca="1" si="27"/>
        <v>#NAME?</v>
      </c>
      <c r="R114" s="43" t="e">
        <f t="shared" ca="1" si="27"/>
        <v>#NAME?</v>
      </c>
      <c r="S114" s="43" t="e">
        <f t="shared" ca="1" si="27"/>
        <v>#NAME?</v>
      </c>
      <c r="T114" s="43" t="e">
        <f t="shared" ca="1" si="27"/>
        <v>#NAME?</v>
      </c>
      <c r="U114" s="43" t="e">
        <f t="shared" ca="1" si="27"/>
        <v>#NAME?</v>
      </c>
      <c r="V114" s="43" t="e">
        <f t="shared" ca="1" si="27"/>
        <v>#NAME?</v>
      </c>
      <c r="W114" s="43" t="e">
        <f t="shared" ca="1" si="27"/>
        <v>#NAME?</v>
      </c>
      <c r="X114" s="43" t="e">
        <f t="shared" ca="1" si="27"/>
        <v>#NAME?</v>
      </c>
      <c r="Y114" s="43" t="e">
        <f t="shared" ca="1" si="27"/>
        <v>#NAME?</v>
      </c>
      <c r="Z114" s="43" t="e">
        <f t="shared" ca="1" si="27"/>
        <v>#NAME?</v>
      </c>
      <c r="AA114" s="43" t="e">
        <f t="shared" ca="1" si="27"/>
        <v>#NAME?</v>
      </c>
      <c r="AB114" s="43" t="e">
        <f t="shared" ca="1" si="27"/>
        <v>#NAME?</v>
      </c>
      <c r="AC114" s="43" t="e">
        <f t="shared" ca="1" si="27"/>
        <v>#NAME?</v>
      </c>
      <c r="AD114" s="43" t="e">
        <f t="shared" ca="1" si="27"/>
        <v>#NAME?</v>
      </c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</row>
    <row r="115" spans="1:66" x14ac:dyDescent="0.35">
      <c r="C115" s="17"/>
    </row>
    <row r="116" spans="1:66" x14ac:dyDescent="0.35">
      <c r="B116" s="57" t="s">
        <v>51</v>
      </c>
      <c r="C116" s="17" t="s">
        <v>115</v>
      </c>
      <c r="D116" s="7"/>
      <c r="E116" s="7"/>
      <c r="F116" s="4"/>
      <c r="G116" s="18">
        <f t="shared" ref="G116:L116" si="28">-($F$13-$F$14)/6</f>
        <v>-20.5</v>
      </c>
      <c r="H116" s="18">
        <f t="shared" si="28"/>
        <v>-20.5</v>
      </c>
      <c r="I116" s="18">
        <f t="shared" si="28"/>
        <v>-20.5</v>
      </c>
      <c r="J116" s="18">
        <f t="shared" si="28"/>
        <v>-20.5</v>
      </c>
      <c r="K116" s="18">
        <f t="shared" si="28"/>
        <v>-20.5</v>
      </c>
      <c r="L116" s="18">
        <f t="shared" si="28"/>
        <v>-20.5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</row>
    <row r="118" spans="1:66" x14ac:dyDescent="0.35">
      <c r="B118" s="58" t="s">
        <v>52</v>
      </c>
      <c r="G118" s="59" t="e">
        <f ca="1">IF(AND(G101+G114-G116&gt;-0.001,G101+G114-G116&lt;0.001),"ok","ERROR")</f>
        <v>#NAME?</v>
      </c>
      <c r="H118" s="59" t="e">
        <f t="shared" ref="H118:AD118" ca="1" si="29">IF(AND(H101+H114-H116&gt;-0.001,H101+H114-H116&lt;0.001),"ok","ERROR")</f>
        <v>#NAME?</v>
      </c>
      <c r="I118" s="59" t="e">
        <f t="shared" ca="1" si="29"/>
        <v>#NAME?</v>
      </c>
      <c r="J118" s="59" t="e">
        <f t="shared" ca="1" si="29"/>
        <v>#NAME?</v>
      </c>
      <c r="K118" s="59" t="e">
        <f t="shared" ca="1" si="29"/>
        <v>#NAME?</v>
      </c>
      <c r="L118" s="59" t="e">
        <f t="shared" ca="1" si="29"/>
        <v>#NAME?</v>
      </c>
      <c r="M118" s="59" t="e">
        <f t="shared" ca="1" si="29"/>
        <v>#NAME?</v>
      </c>
      <c r="N118" s="59" t="e">
        <f t="shared" ca="1" si="29"/>
        <v>#NAME?</v>
      </c>
      <c r="O118" s="59" t="e">
        <f t="shared" ca="1" si="29"/>
        <v>#NAME?</v>
      </c>
      <c r="P118" s="59" t="e">
        <f t="shared" ca="1" si="29"/>
        <v>#NAME?</v>
      </c>
      <c r="Q118" s="59" t="e">
        <f t="shared" ca="1" si="29"/>
        <v>#NAME?</v>
      </c>
      <c r="R118" s="59" t="e">
        <f t="shared" ca="1" si="29"/>
        <v>#NAME?</v>
      </c>
      <c r="S118" s="59" t="e">
        <f t="shared" ca="1" si="29"/>
        <v>#NAME?</v>
      </c>
      <c r="T118" s="59" t="e">
        <f t="shared" ca="1" si="29"/>
        <v>#NAME?</v>
      </c>
      <c r="U118" s="59" t="e">
        <f t="shared" ca="1" si="29"/>
        <v>#NAME?</v>
      </c>
      <c r="V118" s="59" t="e">
        <f t="shared" ca="1" si="29"/>
        <v>#NAME?</v>
      </c>
      <c r="W118" s="59" t="e">
        <f t="shared" ca="1" si="29"/>
        <v>#NAME?</v>
      </c>
      <c r="X118" s="59" t="e">
        <f t="shared" ca="1" si="29"/>
        <v>#NAME?</v>
      </c>
      <c r="Y118" s="59" t="e">
        <f t="shared" ca="1" si="29"/>
        <v>#NAME?</v>
      </c>
      <c r="Z118" s="59" t="e">
        <f t="shared" ca="1" si="29"/>
        <v>#NAME?</v>
      </c>
      <c r="AA118" s="59" t="e">
        <f t="shared" ca="1" si="29"/>
        <v>#NAME?</v>
      </c>
      <c r="AB118" s="59" t="e">
        <f t="shared" ca="1" si="29"/>
        <v>#NAME?</v>
      </c>
      <c r="AC118" s="59" t="e">
        <f t="shared" ca="1" si="29"/>
        <v>#NAME?</v>
      </c>
      <c r="AD118" s="59" t="e">
        <f t="shared" ca="1" si="29"/>
        <v>#NAME?</v>
      </c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</row>
    <row r="119" spans="1:66" x14ac:dyDescent="0.35">
      <c r="G119" s="59"/>
      <c r="H119" s="59"/>
      <c r="I119" s="59"/>
      <c r="J119" s="59"/>
      <c r="K119" s="59"/>
      <c r="L119" s="59"/>
      <c r="M119" s="59"/>
      <c r="N119" s="59"/>
    </row>
    <row r="120" spans="1:66" ht="15.5" x14ac:dyDescent="0.35">
      <c r="A120" s="30" t="s">
        <v>142</v>
      </c>
      <c r="G120" s="59"/>
      <c r="H120" s="59"/>
      <c r="I120" s="59"/>
      <c r="J120" s="59"/>
      <c r="K120" s="59"/>
      <c r="L120" s="59"/>
      <c r="M120" s="59"/>
      <c r="N120" s="59"/>
    </row>
    <row r="121" spans="1:66" x14ac:dyDescent="0.35">
      <c r="G121" s="59"/>
      <c r="H121" s="59"/>
      <c r="I121" s="59"/>
      <c r="J121" s="59"/>
      <c r="K121" s="59"/>
      <c r="L121" s="59"/>
      <c r="M121" s="59"/>
      <c r="N121" s="59"/>
    </row>
    <row r="122" spans="1:66" x14ac:dyDescent="0.35">
      <c r="B122" s="3" t="s">
        <v>120</v>
      </c>
      <c r="C122" s="17" t="s">
        <v>113</v>
      </c>
      <c r="D122" s="7"/>
      <c r="E122" s="7"/>
      <c r="F122" s="49">
        <f>IF(ISNUMBER('Control Sheet'!$F16),'Control Sheet'!$F16, _xll.RiskNormalAlt(5%,'Control Sheet'!$D16,95%,'Control Sheet'!$E16))</f>
        <v>7.4999999999999997E-3</v>
      </c>
      <c r="G122" s="49">
        <f>F122</f>
        <v>7.4999999999999997E-3</v>
      </c>
      <c r="H122" s="49">
        <f t="shared" ref="H122:AD122" si="30">G122</f>
        <v>7.4999999999999997E-3</v>
      </c>
      <c r="I122" s="49">
        <f t="shared" si="30"/>
        <v>7.4999999999999997E-3</v>
      </c>
      <c r="J122" s="49">
        <f t="shared" si="30"/>
        <v>7.4999999999999997E-3</v>
      </c>
      <c r="K122" s="49">
        <f t="shared" si="30"/>
        <v>7.4999999999999997E-3</v>
      </c>
      <c r="L122" s="49">
        <f t="shared" si="30"/>
        <v>7.4999999999999997E-3</v>
      </c>
      <c r="M122" s="49">
        <f t="shared" si="30"/>
        <v>7.4999999999999997E-3</v>
      </c>
      <c r="N122" s="49">
        <f t="shared" si="30"/>
        <v>7.4999999999999997E-3</v>
      </c>
      <c r="O122" s="49">
        <f t="shared" si="30"/>
        <v>7.4999999999999997E-3</v>
      </c>
      <c r="P122" s="49">
        <f t="shared" si="30"/>
        <v>7.4999999999999997E-3</v>
      </c>
      <c r="Q122" s="49">
        <f t="shared" si="30"/>
        <v>7.4999999999999997E-3</v>
      </c>
      <c r="R122" s="49">
        <f t="shared" si="30"/>
        <v>7.4999999999999997E-3</v>
      </c>
      <c r="S122" s="49">
        <f t="shared" si="30"/>
        <v>7.4999999999999997E-3</v>
      </c>
      <c r="T122" s="49">
        <f t="shared" si="30"/>
        <v>7.4999999999999997E-3</v>
      </c>
      <c r="U122" s="49">
        <f t="shared" si="30"/>
        <v>7.4999999999999997E-3</v>
      </c>
      <c r="V122" s="49">
        <f t="shared" si="30"/>
        <v>7.4999999999999997E-3</v>
      </c>
      <c r="W122" s="49">
        <f t="shared" si="30"/>
        <v>7.4999999999999997E-3</v>
      </c>
      <c r="X122" s="49">
        <f t="shared" si="30"/>
        <v>7.4999999999999997E-3</v>
      </c>
      <c r="Y122" s="49">
        <f t="shared" si="30"/>
        <v>7.4999999999999997E-3</v>
      </c>
      <c r="Z122" s="49">
        <f t="shared" si="30"/>
        <v>7.4999999999999997E-3</v>
      </c>
      <c r="AA122" s="49">
        <f t="shared" si="30"/>
        <v>7.4999999999999997E-3</v>
      </c>
      <c r="AB122" s="49">
        <f t="shared" si="30"/>
        <v>7.4999999999999997E-3</v>
      </c>
      <c r="AC122" s="49">
        <f t="shared" si="30"/>
        <v>7.4999999999999997E-3</v>
      </c>
      <c r="AD122" s="49">
        <f t="shared" si="30"/>
        <v>7.4999999999999997E-3</v>
      </c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</row>
    <row r="123" spans="1:66" x14ac:dyDescent="0.35">
      <c r="B123" s="3" t="s">
        <v>124</v>
      </c>
      <c r="C123" s="17" t="s">
        <v>125</v>
      </c>
      <c r="D123" s="7"/>
      <c r="E123" s="7"/>
      <c r="F123" s="18">
        <v>1</v>
      </c>
      <c r="G123" s="6">
        <f>F123*(1-G122)</f>
        <v>0.99250000000000005</v>
      </c>
      <c r="H123" s="6">
        <f t="shared" ref="H123:AD123" si="31">G123*(1-H122)</f>
        <v>0.98505625000000008</v>
      </c>
      <c r="I123" s="6">
        <f t="shared" si="31"/>
        <v>0.97766832812500015</v>
      </c>
      <c r="J123" s="6">
        <f t="shared" si="31"/>
        <v>0.97033581566406268</v>
      </c>
      <c r="K123" s="6">
        <f t="shared" si="31"/>
        <v>0.9630582970465823</v>
      </c>
      <c r="L123" s="6">
        <f t="shared" si="31"/>
        <v>0.95583535981873302</v>
      </c>
      <c r="M123" s="6">
        <f t="shared" si="31"/>
        <v>0.94866659462009262</v>
      </c>
      <c r="N123" s="6">
        <f t="shared" si="31"/>
        <v>0.94155159516044196</v>
      </c>
      <c r="O123" s="6">
        <f t="shared" si="31"/>
        <v>0.93448995819673863</v>
      </c>
      <c r="P123" s="6">
        <f t="shared" si="31"/>
        <v>0.92748128351026315</v>
      </c>
      <c r="Q123" s="6">
        <f t="shared" si="31"/>
        <v>0.92052517388393618</v>
      </c>
      <c r="R123" s="6">
        <f t="shared" si="31"/>
        <v>0.91362123507980675</v>
      </c>
      <c r="S123" s="6">
        <f t="shared" si="31"/>
        <v>0.90676907581670829</v>
      </c>
      <c r="T123" s="6">
        <f t="shared" si="31"/>
        <v>0.89996830774808301</v>
      </c>
      <c r="U123" s="6">
        <f t="shared" si="31"/>
        <v>0.89321854543997248</v>
      </c>
      <c r="V123" s="6">
        <f t="shared" si="31"/>
        <v>0.8865194063491727</v>
      </c>
      <c r="W123" s="6">
        <f t="shared" si="31"/>
        <v>0.87987051080155398</v>
      </c>
      <c r="X123" s="6">
        <f t="shared" si="31"/>
        <v>0.87327148197054238</v>
      </c>
      <c r="Y123" s="6">
        <f t="shared" si="31"/>
        <v>0.86672194585576334</v>
      </c>
      <c r="Z123" s="6">
        <f t="shared" si="31"/>
        <v>0.8602215312618452</v>
      </c>
      <c r="AA123" s="6">
        <f t="shared" si="31"/>
        <v>0.85376986977738145</v>
      </c>
      <c r="AB123" s="6">
        <f t="shared" si="31"/>
        <v>0.84736659575405116</v>
      </c>
      <c r="AC123" s="6">
        <f t="shared" si="31"/>
        <v>0.8410113462858958</v>
      </c>
      <c r="AD123" s="6">
        <f t="shared" si="31"/>
        <v>0.83470376118875167</v>
      </c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x14ac:dyDescent="0.35">
      <c r="B124" s="12"/>
      <c r="C124" s="17"/>
      <c r="F124" s="18"/>
      <c r="G124" s="59"/>
      <c r="H124" s="59"/>
      <c r="I124" s="59"/>
      <c r="J124" s="59"/>
      <c r="K124" s="59"/>
      <c r="L124" s="59"/>
      <c r="M124" s="59"/>
      <c r="N124" s="59"/>
    </row>
    <row r="125" spans="1:66" x14ac:dyDescent="0.35">
      <c r="B125" s="17" t="s">
        <v>53</v>
      </c>
      <c r="C125" s="17" t="s">
        <v>115</v>
      </c>
      <c r="D125" s="7"/>
      <c r="E125" s="7"/>
      <c r="F125" s="43"/>
      <c r="G125" s="18" t="e">
        <f t="shared" ref="G125:AD125" ca="1" si="32">G95</f>
        <v>#NAME?</v>
      </c>
      <c r="H125" s="18" t="e">
        <f t="shared" ca="1" si="32"/>
        <v>#NAME?</v>
      </c>
      <c r="I125" s="18" t="e">
        <f t="shared" ca="1" si="32"/>
        <v>#NAME?</v>
      </c>
      <c r="J125" s="18" t="e">
        <f t="shared" ca="1" si="32"/>
        <v>#NAME?</v>
      </c>
      <c r="K125" s="18" t="e">
        <f t="shared" ca="1" si="32"/>
        <v>#NAME?</v>
      </c>
      <c r="L125" s="18" t="e">
        <f t="shared" ca="1" si="32"/>
        <v>#NAME?</v>
      </c>
      <c r="M125" s="18" t="e">
        <f t="shared" ca="1" si="32"/>
        <v>#NAME?</v>
      </c>
      <c r="N125" s="18" t="e">
        <f t="shared" ca="1" si="32"/>
        <v>#NAME?</v>
      </c>
      <c r="O125" s="18" t="e">
        <f t="shared" ca="1" si="32"/>
        <v>#NAME?</v>
      </c>
      <c r="P125" s="18" t="e">
        <f t="shared" ca="1" si="32"/>
        <v>#NAME?</v>
      </c>
      <c r="Q125" s="18" t="e">
        <f t="shared" ca="1" si="32"/>
        <v>#NAME?</v>
      </c>
      <c r="R125" s="18" t="e">
        <f t="shared" ca="1" si="32"/>
        <v>#NAME?</v>
      </c>
      <c r="S125" s="18" t="e">
        <f t="shared" ca="1" si="32"/>
        <v>#NAME?</v>
      </c>
      <c r="T125" s="18" t="e">
        <f t="shared" ca="1" si="32"/>
        <v>#NAME?</v>
      </c>
      <c r="U125" s="18" t="e">
        <f t="shared" ca="1" si="32"/>
        <v>#NAME?</v>
      </c>
      <c r="V125" s="18" t="e">
        <f t="shared" ca="1" si="32"/>
        <v>#NAME?</v>
      </c>
      <c r="W125" s="18" t="e">
        <f t="shared" ca="1" si="32"/>
        <v>#NAME?</v>
      </c>
      <c r="X125" s="18" t="e">
        <f t="shared" ca="1" si="32"/>
        <v>#NAME?</v>
      </c>
      <c r="Y125" s="18" t="e">
        <f t="shared" ca="1" si="32"/>
        <v>#NAME?</v>
      </c>
      <c r="Z125" s="18" t="e">
        <f t="shared" ca="1" si="32"/>
        <v>#NAME?</v>
      </c>
      <c r="AA125" s="18" t="e">
        <f t="shared" ca="1" si="32"/>
        <v>#NAME?</v>
      </c>
      <c r="AB125" s="18" t="e">
        <f t="shared" ca="1" si="32"/>
        <v>#NAME?</v>
      </c>
      <c r="AC125" s="18" t="e">
        <f t="shared" ca="1" si="32"/>
        <v>#NAME?</v>
      </c>
      <c r="AD125" s="18" t="e">
        <f t="shared" ca="1" si="32"/>
        <v>#NAME?</v>
      </c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x14ac:dyDescent="0.35">
      <c r="B126" s="17" t="s">
        <v>55</v>
      </c>
      <c r="C126" s="17" t="s">
        <v>115</v>
      </c>
      <c r="D126" s="7"/>
      <c r="E126" s="7"/>
      <c r="G126" s="18">
        <f t="shared" ref="G126:AD126" si="33">G97</f>
        <v>17.640691669387465</v>
      </c>
      <c r="H126" s="18">
        <f t="shared" si="33"/>
        <v>17.993505502775214</v>
      </c>
      <c r="I126" s="18">
        <f t="shared" si="33"/>
        <v>18.353375612830721</v>
      </c>
      <c r="J126" s="18">
        <f t="shared" si="33"/>
        <v>18.720443125087336</v>
      </c>
      <c r="K126" s="18">
        <f t="shared" si="33"/>
        <v>19.094851987589085</v>
      </c>
      <c r="L126" s="18">
        <f t="shared" si="33"/>
        <v>19.476749027340865</v>
      </c>
      <c r="M126" s="18">
        <f t="shared" si="33"/>
        <v>19.866284007887685</v>
      </c>
      <c r="N126" s="18">
        <f t="shared" si="33"/>
        <v>20.263609688045438</v>
      </c>
      <c r="O126" s="18">
        <f t="shared" si="33"/>
        <v>20.66888188180635</v>
      </c>
      <c r="P126" s="18">
        <f t="shared" si="33"/>
        <v>21.082259519442474</v>
      </c>
      <c r="Q126" s="18">
        <f t="shared" si="33"/>
        <v>21.503904709831325</v>
      </c>
      <c r="R126" s="18">
        <f t="shared" si="33"/>
        <v>21.933982804027952</v>
      </c>
      <c r="S126" s="18">
        <f t="shared" si="33"/>
        <v>22.372662460108511</v>
      </c>
      <c r="T126" s="18">
        <f t="shared" si="33"/>
        <v>22.820115709310681</v>
      </c>
      <c r="U126" s="18">
        <f t="shared" si="33"/>
        <v>23.276518023496898</v>
      </c>
      <c r="V126" s="18">
        <f t="shared" si="33"/>
        <v>23.742048383966832</v>
      </c>
      <c r="W126" s="18">
        <f t="shared" si="33"/>
        <v>24.21688935164617</v>
      </c>
      <c r="X126" s="18">
        <f t="shared" si="33"/>
        <v>24.701227138679094</v>
      </c>
      <c r="Y126" s="18">
        <f t="shared" si="33"/>
        <v>25.195251681452675</v>
      </c>
      <c r="Z126" s="18">
        <f t="shared" si="33"/>
        <v>25.699156715081727</v>
      </c>
      <c r="AA126" s="18">
        <f t="shared" si="33"/>
        <v>26.213139849383364</v>
      </c>
      <c r="AB126" s="18">
        <f t="shared" si="33"/>
        <v>26.737402646371031</v>
      </c>
      <c r="AC126" s="18">
        <f t="shared" si="33"/>
        <v>27.27215069929845</v>
      </c>
      <c r="AD126" s="18">
        <f t="shared" si="33"/>
        <v>27.817593713284417</v>
      </c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x14ac:dyDescent="0.35">
      <c r="B127" s="17" t="s">
        <v>233</v>
      </c>
      <c r="C127" s="17" t="s">
        <v>115</v>
      </c>
      <c r="D127" s="7"/>
      <c r="E127" s="7"/>
      <c r="G127" s="18">
        <f t="shared" ref="G127:AD127" si="34">G99</f>
        <v>180</v>
      </c>
      <c r="H127" s="18" t="e">
        <f t="shared" ca="1" si="34"/>
        <v>#NAME?</v>
      </c>
      <c r="I127" s="18" t="e">
        <f t="shared" ca="1" si="34"/>
        <v>#NAME?</v>
      </c>
      <c r="J127" s="18" t="e">
        <f t="shared" ca="1" si="34"/>
        <v>#NAME?</v>
      </c>
      <c r="K127" s="18" t="e">
        <f t="shared" ca="1" si="34"/>
        <v>#NAME?</v>
      </c>
      <c r="L127" s="18" t="e">
        <f t="shared" ca="1" si="34"/>
        <v>#NAME?</v>
      </c>
      <c r="M127" s="18" t="e">
        <f t="shared" ca="1" si="34"/>
        <v>#NAME?</v>
      </c>
      <c r="N127" s="18" t="e">
        <f t="shared" ca="1" si="34"/>
        <v>#NAME?</v>
      </c>
      <c r="O127" s="18" t="e">
        <f t="shared" ca="1" si="34"/>
        <v>#NAME?</v>
      </c>
      <c r="P127" s="18" t="e">
        <f t="shared" ca="1" si="34"/>
        <v>#NAME?</v>
      </c>
      <c r="Q127" s="18" t="e">
        <f t="shared" ca="1" si="34"/>
        <v>#NAME?</v>
      </c>
      <c r="R127" s="18" t="e">
        <f t="shared" ca="1" si="34"/>
        <v>#NAME?</v>
      </c>
      <c r="S127" s="18" t="e">
        <f t="shared" ca="1" si="34"/>
        <v>#NAME?</v>
      </c>
      <c r="T127" s="18" t="e">
        <f t="shared" ca="1" si="34"/>
        <v>#NAME?</v>
      </c>
      <c r="U127" s="18" t="e">
        <f t="shared" ca="1" si="34"/>
        <v>#NAME?</v>
      </c>
      <c r="V127" s="18" t="e">
        <f t="shared" ca="1" si="34"/>
        <v>#NAME?</v>
      </c>
      <c r="W127" s="18" t="e">
        <f t="shared" ca="1" si="34"/>
        <v>#NAME?</v>
      </c>
      <c r="X127" s="18" t="e">
        <f t="shared" ca="1" si="34"/>
        <v>#NAME?</v>
      </c>
      <c r="Y127" s="18" t="e">
        <f t="shared" ca="1" si="34"/>
        <v>#NAME?</v>
      </c>
      <c r="Z127" s="18" t="e">
        <f t="shared" ca="1" si="34"/>
        <v>#NAME?</v>
      </c>
      <c r="AA127" s="18" t="e">
        <f t="shared" ca="1" si="34"/>
        <v>#NAME?</v>
      </c>
      <c r="AB127" s="18" t="e">
        <f t="shared" ca="1" si="34"/>
        <v>#NAME?</v>
      </c>
      <c r="AC127" s="18" t="e">
        <f t="shared" ca="1" si="34"/>
        <v>#NAME?</v>
      </c>
      <c r="AD127" s="18" t="e">
        <f t="shared" ca="1" si="34"/>
        <v>#NAME?</v>
      </c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x14ac:dyDescent="0.35">
      <c r="C128" s="17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2:66" x14ac:dyDescent="0.35">
      <c r="B129" s="3" t="s">
        <v>138</v>
      </c>
      <c r="C129" s="1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</row>
    <row r="130" spans="2:66" x14ac:dyDescent="0.35">
      <c r="B130" s="12" t="s">
        <v>131</v>
      </c>
      <c r="C130" s="17" t="s">
        <v>115</v>
      </c>
      <c r="D130" s="7"/>
      <c r="E130" s="7"/>
      <c r="G130" s="18">
        <f>'Supplementary inputs'!$F16*G$35*G$123</f>
        <v>605.45666035259262</v>
      </c>
      <c r="H130" s="18">
        <f>'Supplementary inputs'!$F16*H$35*H$123</f>
        <v>612.9340501079472</v>
      </c>
      <c r="I130" s="18">
        <f>'Supplementary inputs'!$F16*I$35*I$123</f>
        <v>620.50378562678043</v>
      </c>
      <c r="J130" s="18">
        <f>'Supplementary inputs'!$F16*J$35*J$123</f>
        <v>628.16700737927124</v>
      </c>
      <c r="K130" s="18">
        <f>'Supplementary inputs'!$F16*K$35*K$123</f>
        <v>635.9248699204054</v>
      </c>
      <c r="L130" s="18">
        <f>'Supplementary inputs'!$F16*L$35*L$123</f>
        <v>643.77854206392249</v>
      </c>
      <c r="M130" s="18">
        <f>'Supplementary inputs'!$F16*M$35*M$123</f>
        <v>651.72920705841193</v>
      </c>
      <c r="N130" s="18">
        <f>'Supplementary inputs'!$F16*N$35*N$123</f>
        <v>659.7780627655834</v>
      </c>
      <c r="O130" s="18">
        <f>'Supplementary inputs'!$F16*O$35*O$123</f>
        <v>667.92632184073841</v>
      </c>
      <c r="P130" s="18">
        <f>'Supplementary inputs'!$F16*P$35*P$123</f>
        <v>676.17521191547155</v>
      </c>
      <c r="Q130" s="18">
        <f>'Supplementary inputs'!$F16*Q$35*Q$123</f>
        <v>684.5259757826276</v>
      </c>
      <c r="R130" s="18">
        <f>'Supplementary inputs'!$F16*R$35*R$123</f>
        <v>692.97987158354317</v>
      </c>
      <c r="S130" s="18">
        <f>'Supplementary inputs'!$F16*S$35*S$123</f>
        <v>701.53817299759999</v>
      </c>
      <c r="T130" s="18">
        <f>'Supplementary inputs'!$F16*T$35*T$123</f>
        <v>710.20216943412038</v>
      </c>
      <c r="U130" s="18">
        <f>'Supplementary inputs'!$F16*U$35*U$123</f>
        <v>718.97316622663186</v>
      </c>
      <c r="V130" s="18">
        <f>'Supplementary inputs'!$F16*V$35*V$123</f>
        <v>727.85248482953079</v>
      </c>
      <c r="W130" s="18">
        <f>'Supplementary inputs'!$F16*W$35*W$123</f>
        <v>736.84146301717544</v>
      </c>
      <c r="X130" s="18">
        <f>'Supplementary inputs'!$F16*X$35*X$123</f>
        <v>745.94145508543772</v>
      </c>
      <c r="Y130" s="18">
        <f>'Supplementary inputs'!$F16*Y$35*Y$123</f>
        <v>755.1538320557429</v>
      </c>
      <c r="Z130" s="18">
        <f>'Supplementary inputs'!$F16*Z$35*Z$123</f>
        <v>764.47998188163137</v>
      </c>
      <c r="AA130" s="18">
        <f>'Supplementary inputs'!$F16*AA$35*AA$123</f>
        <v>773.92130965786964</v>
      </c>
      <c r="AB130" s="18">
        <f>'Supplementary inputs'!$F16*AB$35*AB$123</f>
        <v>783.47923783214424</v>
      </c>
      <c r="AC130" s="18">
        <f>'Supplementary inputs'!$F16*AC$35*AC$123</f>
        <v>793.15520641937121</v>
      </c>
      <c r="AD130" s="18">
        <f>'Supplementary inputs'!$F16*AD$35*AD$123</f>
        <v>802.95067321865065</v>
      </c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</row>
    <row r="131" spans="2:66" x14ac:dyDescent="0.35">
      <c r="B131" s="12" t="s">
        <v>45</v>
      </c>
      <c r="C131" s="17" t="s">
        <v>115</v>
      </c>
      <c r="D131" s="7"/>
      <c r="E131" s="7"/>
      <c r="G131" s="18">
        <f>'Supplementary inputs'!$F17*G$35*G$123</f>
        <v>184.87116160977638</v>
      </c>
      <c r="H131" s="18">
        <f>'Supplementary inputs'!$F17*H$35*H$123</f>
        <v>187.15432045565717</v>
      </c>
      <c r="I131" s="18">
        <f>'Supplementary inputs'!$F17*I$35*I$123</f>
        <v>189.46567631328455</v>
      </c>
      <c r="J131" s="18">
        <f>'Supplementary inputs'!$F17*J$35*J$123</f>
        <v>191.80557741575362</v>
      </c>
      <c r="K131" s="18">
        <f>'Supplementary inputs'!$F17*K$35*K$123</f>
        <v>194.17437629683823</v>
      </c>
      <c r="L131" s="18">
        <f>'Supplementary inputs'!$F17*L$35*L$123</f>
        <v>196.57242984410419</v>
      </c>
      <c r="M131" s="18">
        <f>'Supplementary inputs'!$F17*M$35*M$123</f>
        <v>199.00009935267892</v>
      </c>
      <c r="N131" s="18">
        <f>'Supplementary inputs'!$F17*N$35*N$123</f>
        <v>201.4577505796845</v>
      </c>
      <c r="O131" s="18">
        <f>'Supplementary inputs'!$F17*O$35*O$123</f>
        <v>203.94575379934361</v>
      </c>
      <c r="P131" s="18">
        <f>'Supplementary inputs'!$F17*P$35*P$123</f>
        <v>206.4644838587655</v>
      </c>
      <c r="Q131" s="18">
        <f>'Supplementary inputs'!$F17*Q$35*Q$123</f>
        <v>209.01432023442126</v>
      </c>
      <c r="R131" s="18">
        <f>'Supplementary inputs'!$F17*R$35*R$123</f>
        <v>211.59564708931637</v>
      </c>
      <c r="S131" s="18">
        <f>'Supplementary inputs'!$F17*S$35*S$123</f>
        <v>214.20885333086946</v>
      </c>
      <c r="T131" s="18">
        <f>'Supplementary inputs'!$F17*T$35*T$123</f>
        <v>216.85433266950571</v>
      </c>
      <c r="U131" s="18">
        <f>'Supplementary inputs'!$F17*U$35*U$123</f>
        <v>219.53248367797414</v>
      </c>
      <c r="V131" s="18">
        <f>'Supplementary inputs'!$F17*V$35*V$123</f>
        <v>222.24370985139714</v>
      </c>
      <c r="W131" s="18">
        <f>'Supplementary inputs'!$F17*W$35*W$123</f>
        <v>224.98841966806188</v>
      </c>
      <c r="X131" s="18">
        <f>'Supplementary inputs'!$F17*X$35*X$123</f>
        <v>227.76702665096249</v>
      </c>
      <c r="Y131" s="18">
        <f>'Supplementary inputs'!$F17*Y$35*Y$123</f>
        <v>230.57994943010186</v>
      </c>
      <c r="Z131" s="18">
        <f>'Supplementary inputs'!$F17*Z$35*Z$123</f>
        <v>233.42761180556366</v>
      </c>
      <c r="AA131" s="18">
        <f>'Supplementary inputs'!$F17*AA$35*AA$123</f>
        <v>236.31044281136241</v>
      </c>
      <c r="AB131" s="18">
        <f>'Supplementary inputs'!$F17*AB$35*AB$123</f>
        <v>239.22887678008271</v>
      </c>
      <c r="AC131" s="18">
        <f>'Supplementary inputs'!$F17*AC$35*AC$123</f>
        <v>242.18335340831675</v>
      </c>
      <c r="AD131" s="18">
        <f>'Supplementary inputs'!$F17*AD$35*AD$123</f>
        <v>245.17431782290947</v>
      </c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</row>
    <row r="132" spans="2:66" x14ac:dyDescent="0.35">
      <c r="B132" s="12" t="s">
        <v>132</v>
      </c>
      <c r="C132" s="17" t="s">
        <v>115</v>
      </c>
      <c r="D132" s="7"/>
      <c r="E132" s="7"/>
      <c r="G132" s="18">
        <f>'Supplementary inputs'!$F18*G$35*G$123</f>
        <v>35.095806927488709</v>
      </c>
      <c r="H132" s="18">
        <f>'Supplementary inputs'!$F18*H$35*H$123</f>
        <v>35.529240143043197</v>
      </c>
      <c r="I132" s="18">
        <f>'Supplementary inputs'!$F18*I$35*I$123</f>
        <v>35.968026258809786</v>
      </c>
      <c r="J132" s="18">
        <f>'Supplementary inputs'!$F18*J$35*J$123</f>
        <v>36.412231383106089</v>
      </c>
      <c r="K132" s="18">
        <f>'Supplementary inputs'!$F18*K$35*K$123</f>
        <v>36.861922440687458</v>
      </c>
      <c r="L132" s="18">
        <f>'Supplementary inputs'!$F18*L$35*L$123</f>
        <v>37.317167182829948</v>
      </c>
      <c r="M132" s="18">
        <f>'Supplementary inputs'!$F18*M$35*M$123</f>
        <v>37.778034197537906</v>
      </c>
      <c r="N132" s="18">
        <f>'Supplementary inputs'!$F18*N$35*N$123</f>
        <v>38.244592919877498</v>
      </c>
      <c r="O132" s="18">
        <f>'Supplementary inputs'!$F18*O$35*O$123</f>
        <v>38.716913642437987</v>
      </c>
      <c r="P132" s="18">
        <f>'Supplementary inputs'!$F18*P$35*P$123</f>
        <v>39.195067525922099</v>
      </c>
      <c r="Q132" s="18">
        <f>'Supplementary inputs'!$F18*Q$35*Q$123</f>
        <v>39.679126609867232</v>
      </c>
      <c r="R132" s="18">
        <f>'Supplementary inputs'!$F18*R$35*R$123</f>
        <v>40.169163823499098</v>
      </c>
      <c r="S132" s="18">
        <f>'Supplementary inputs'!$F18*S$35*S$123</f>
        <v>40.665252996719317</v>
      </c>
      <c r="T132" s="18">
        <f>'Supplementary inputs'!$F18*T$35*T$123</f>
        <v>41.167468871228806</v>
      </c>
      <c r="U132" s="18">
        <f>'Supplementary inputs'!$F18*U$35*U$123</f>
        <v>41.675887111788484</v>
      </c>
      <c r="V132" s="18">
        <f>'Supplementary inputs'!$F18*V$35*V$123</f>
        <v>42.19058431761907</v>
      </c>
      <c r="W132" s="18">
        <f>'Supplementary inputs'!$F18*W$35*W$123</f>
        <v>42.711638033941675</v>
      </c>
      <c r="X132" s="18">
        <f>'Supplementary inputs'!$F18*X$35*X$123</f>
        <v>43.239126763660856</v>
      </c>
      <c r="Y132" s="18">
        <f>'Supplementary inputs'!$F18*Y$35*Y$123</f>
        <v>43.773129979192063</v>
      </c>
      <c r="Z132" s="18">
        <f>'Supplementary inputs'!$F18*Z$35*Z$123</f>
        <v>44.313728134435095</v>
      </c>
      <c r="AA132" s="18">
        <f>'Supplementary inputs'!$F18*AA$35*AA$123</f>
        <v>44.861002676895374</v>
      </c>
      <c r="AB132" s="18">
        <f>'Supplementary inputs'!$F18*AB$35*AB$123</f>
        <v>45.415036059955028</v>
      </c>
      <c r="AC132" s="18">
        <f>'Supplementary inputs'!$F18*AC$35*AC$123</f>
        <v>45.975911755295478</v>
      </c>
      <c r="AD132" s="18">
        <f>'Supplementary inputs'!$F18*AD$35*AD$123</f>
        <v>46.543714265473383</v>
      </c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</row>
    <row r="133" spans="2:66" x14ac:dyDescent="0.35">
      <c r="B133" s="12" t="s">
        <v>133</v>
      </c>
      <c r="C133" s="17" t="s">
        <v>115</v>
      </c>
      <c r="D133" s="7"/>
      <c r="E133" s="7"/>
      <c r="G133" s="18">
        <f>'Supplementary inputs'!$F19*G$123</f>
        <v>148.875</v>
      </c>
      <c r="H133" s="18">
        <f>'Supplementary inputs'!$F19*H$123</f>
        <v>147.75843750000001</v>
      </c>
      <c r="I133" s="18">
        <f>'Supplementary inputs'!$F19*I$123</f>
        <v>146.65024921875002</v>
      </c>
      <c r="J133" s="18">
        <f>'Supplementary inputs'!$F19*J$123</f>
        <v>145.5503723496094</v>
      </c>
      <c r="K133" s="18">
        <f>'Supplementary inputs'!$F19*K$123</f>
        <v>144.45874455698734</v>
      </c>
      <c r="L133" s="18">
        <f>'Supplementary inputs'!$F19*L$123</f>
        <v>143.37530397280995</v>
      </c>
      <c r="M133" s="18">
        <f>'Supplementary inputs'!$F19*M$123</f>
        <v>142.29998919301389</v>
      </c>
      <c r="N133" s="18">
        <f>'Supplementary inputs'!$F19*N$123</f>
        <v>141.23273927406629</v>
      </c>
      <c r="O133" s="18">
        <f>'Supplementary inputs'!$F19*O$123</f>
        <v>140.1734937295108</v>
      </c>
      <c r="P133" s="18">
        <f>'Supplementary inputs'!$F19*P$123</f>
        <v>139.12219252653946</v>
      </c>
      <c r="Q133" s="18">
        <f>'Supplementary inputs'!$F19*Q$123</f>
        <v>138.07877608259042</v>
      </c>
      <c r="R133" s="18">
        <f>'Supplementary inputs'!$F19*R$123</f>
        <v>137.04318526197102</v>
      </c>
      <c r="S133" s="18">
        <f>'Supplementary inputs'!$F19*S$123</f>
        <v>136.01536137250625</v>
      </c>
      <c r="T133" s="18">
        <f>'Supplementary inputs'!$F19*T$123</f>
        <v>134.99524616221245</v>
      </c>
      <c r="U133" s="18">
        <f>'Supplementary inputs'!$F19*U$123</f>
        <v>133.98278181599588</v>
      </c>
      <c r="V133" s="18">
        <f>'Supplementary inputs'!$F19*V$123</f>
        <v>132.97791095237591</v>
      </c>
      <c r="W133" s="18">
        <f>'Supplementary inputs'!$F19*W$123</f>
        <v>131.98057662023311</v>
      </c>
      <c r="X133" s="18">
        <f>'Supplementary inputs'!$F19*X$123</f>
        <v>130.99072229558135</v>
      </c>
      <c r="Y133" s="18">
        <f>'Supplementary inputs'!$F19*Y$123</f>
        <v>130.0082918783645</v>
      </c>
      <c r="Z133" s="18">
        <f>'Supplementary inputs'!$F19*Z$123</f>
        <v>129.03322968927677</v>
      </c>
      <c r="AA133" s="18">
        <f>'Supplementary inputs'!$F19*AA$123</f>
        <v>128.06548046660723</v>
      </c>
      <c r="AB133" s="18">
        <f>'Supplementary inputs'!$F19*AB$123</f>
        <v>127.10498936310768</v>
      </c>
      <c r="AC133" s="18">
        <f>'Supplementary inputs'!$F19*AC$123</f>
        <v>126.15170194288437</v>
      </c>
      <c r="AD133" s="18">
        <f>'Supplementary inputs'!$F19*AD$123</f>
        <v>125.20556417831276</v>
      </c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</row>
    <row r="134" spans="2:66" x14ac:dyDescent="0.35">
      <c r="B134" s="12" t="s">
        <v>46</v>
      </c>
      <c r="C134" s="17" t="s">
        <v>115</v>
      </c>
      <c r="D134" s="7"/>
      <c r="E134" s="7"/>
      <c r="G134" s="18">
        <f>G123*SUMPRODUCT($G$22:G22,$G$24:G24)</f>
        <v>5.3594999999999997</v>
      </c>
      <c r="H134" s="18" t="e">
        <f ca="1">H123*SUMPRODUCT($G$22:H22,$G$24:H24)</f>
        <v>#NAME?</v>
      </c>
      <c r="I134" s="18" t="e">
        <f ca="1">I123*SUMPRODUCT($G$22:I22,$G$24:I24)</f>
        <v>#NAME?</v>
      </c>
      <c r="J134" s="18" t="e">
        <f ca="1">J123*SUMPRODUCT($G$22:J22,$G$24:J24)</f>
        <v>#NAME?</v>
      </c>
      <c r="K134" s="18" t="e">
        <f ca="1">K123*SUMPRODUCT($G$22:K22,$G$24:K24)</f>
        <v>#NAME?</v>
      </c>
      <c r="L134" s="18" t="e">
        <f ca="1">L123*SUMPRODUCT($G$22:L22,$G$24:L24)</f>
        <v>#NAME?</v>
      </c>
      <c r="M134" s="18" t="e">
        <f ca="1">M123*SUMPRODUCT($G$22:M22,$G$24:M24)</f>
        <v>#NAME?</v>
      </c>
      <c r="N134" s="18" t="e">
        <f ca="1">N123*SUMPRODUCT($G$22:N22,$G$24:N24)</f>
        <v>#NAME?</v>
      </c>
      <c r="O134" s="18" t="e">
        <f ca="1">O123*SUMPRODUCT($G$22:O22,$G$24:O24)</f>
        <v>#NAME?</v>
      </c>
      <c r="P134" s="18" t="e">
        <f ca="1">P123*SUMPRODUCT($G$22:P22,$G$24:P24)</f>
        <v>#NAME?</v>
      </c>
      <c r="Q134" s="18" t="e">
        <f ca="1">Q123*SUMPRODUCT($G$22:Q22,$G$24:Q24)</f>
        <v>#NAME?</v>
      </c>
      <c r="R134" s="18" t="e">
        <f ca="1">R123*SUMPRODUCT($G$22:R22,$G$24:R24)</f>
        <v>#NAME?</v>
      </c>
      <c r="S134" s="18" t="e">
        <f ca="1">S123*SUMPRODUCT($G$22:S22,$G$24:S24)</f>
        <v>#NAME?</v>
      </c>
      <c r="T134" s="18" t="e">
        <f ca="1">T123*SUMPRODUCT($G$22:T22,$G$24:T24)</f>
        <v>#NAME?</v>
      </c>
      <c r="U134" s="18" t="e">
        <f ca="1">U123*SUMPRODUCT($G$22:U22,$G$24:U24)</f>
        <v>#NAME?</v>
      </c>
      <c r="V134" s="18" t="e">
        <f ca="1">V123*SUMPRODUCT($G$22:V22,$G$24:V24)</f>
        <v>#NAME?</v>
      </c>
      <c r="W134" s="18" t="e">
        <f ca="1">W123*SUMPRODUCT($G$22:W22,$G$24:W24)</f>
        <v>#NAME?</v>
      </c>
      <c r="X134" s="18" t="e">
        <f ca="1">X123*SUMPRODUCT($G$22:X22,$G$24:X24)</f>
        <v>#NAME?</v>
      </c>
      <c r="Y134" s="18" t="e">
        <f ca="1">Y123*SUMPRODUCT($G$22:Y22,$G$24:Y24)</f>
        <v>#NAME?</v>
      </c>
      <c r="Z134" s="18" t="e">
        <f ca="1">Z123*SUMPRODUCT($G$22:Z22,$G$24:Z24)</f>
        <v>#NAME?</v>
      </c>
      <c r="AA134" s="18" t="e">
        <f ca="1">AA123*SUMPRODUCT($G$22:AA22,$G$24:AA24)</f>
        <v>#NAME?</v>
      </c>
      <c r="AB134" s="18" t="e">
        <f ca="1">AB123*SUMPRODUCT($G$22:AB22,$G$24:AB24)</f>
        <v>#NAME?</v>
      </c>
      <c r="AC134" s="18" t="e">
        <f ca="1">AC123*SUMPRODUCT($G$22:AC22,$G$24:AC24)</f>
        <v>#NAME?</v>
      </c>
      <c r="AD134" s="18" t="e">
        <f ca="1">AD123*SUMPRODUCT($G$22:AD22,$G$24:AD24)</f>
        <v>#NAME?</v>
      </c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</row>
    <row r="135" spans="2:66" x14ac:dyDescent="0.35">
      <c r="B135" s="12" t="s">
        <v>139</v>
      </c>
      <c r="C135" s="17" t="s">
        <v>115</v>
      </c>
      <c r="D135" s="7"/>
      <c r="E135" s="7"/>
      <c r="G135" s="18" t="e">
        <f t="shared" ref="G135:AD135" ca="1" si="35">G29*G35</f>
        <v>#NAME?</v>
      </c>
      <c r="H135" s="18" t="e">
        <f t="shared" ca="1" si="35"/>
        <v>#NAME?</v>
      </c>
      <c r="I135" s="18" t="e">
        <f t="shared" ca="1" si="35"/>
        <v>#NAME?</v>
      </c>
      <c r="J135" s="18" t="e">
        <f t="shared" ca="1" si="35"/>
        <v>#NAME?</v>
      </c>
      <c r="K135" s="18" t="e">
        <f t="shared" ca="1" si="35"/>
        <v>#NAME?</v>
      </c>
      <c r="L135" s="18" t="e">
        <f t="shared" ca="1" si="35"/>
        <v>#NAME?</v>
      </c>
      <c r="M135" s="18" t="e">
        <f t="shared" ca="1" si="35"/>
        <v>#NAME?</v>
      </c>
      <c r="N135" s="18" t="e">
        <f t="shared" ca="1" si="35"/>
        <v>#NAME?</v>
      </c>
      <c r="O135" s="18" t="e">
        <f t="shared" ca="1" si="35"/>
        <v>#NAME?</v>
      </c>
      <c r="P135" s="18" t="e">
        <f t="shared" ca="1" si="35"/>
        <v>#NAME?</v>
      </c>
      <c r="Q135" s="18" t="e">
        <f t="shared" ca="1" si="35"/>
        <v>#NAME?</v>
      </c>
      <c r="R135" s="18" t="e">
        <f t="shared" ca="1" si="35"/>
        <v>#NAME?</v>
      </c>
      <c r="S135" s="18" t="e">
        <f t="shared" ca="1" si="35"/>
        <v>#NAME?</v>
      </c>
      <c r="T135" s="18" t="e">
        <f t="shared" ca="1" si="35"/>
        <v>#NAME?</v>
      </c>
      <c r="U135" s="18" t="e">
        <f t="shared" ca="1" si="35"/>
        <v>#NAME?</v>
      </c>
      <c r="V135" s="18" t="e">
        <f t="shared" ca="1" si="35"/>
        <v>#NAME?</v>
      </c>
      <c r="W135" s="18" t="e">
        <f t="shared" ca="1" si="35"/>
        <v>#NAME?</v>
      </c>
      <c r="X135" s="18" t="e">
        <f t="shared" ca="1" si="35"/>
        <v>#NAME?</v>
      </c>
      <c r="Y135" s="18" t="e">
        <f t="shared" ca="1" si="35"/>
        <v>#NAME?</v>
      </c>
      <c r="Z135" s="18" t="e">
        <f t="shared" ca="1" si="35"/>
        <v>#NAME?</v>
      </c>
      <c r="AA135" s="18" t="e">
        <f t="shared" ca="1" si="35"/>
        <v>#NAME?</v>
      </c>
      <c r="AB135" s="18" t="e">
        <f t="shared" ca="1" si="35"/>
        <v>#NAME?</v>
      </c>
      <c r="AC135" s="18" t="e">
        <f t="shared" ca="1" si="35"/>
        <v>#NAME?</v>
      </c>
      <c r="AD135" s="18" t="e">
        <f t="shared" ca="1" si="35"/>
        <v>#NAME?</v>
      </c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</row>
    <row r="136" spans="2:66" x14ac:dyDescent="0.35">
      <c r="B136" s="3" t="s">
        <v>141</v>
      </c>
      <c r="C136" s="17" t="s">
        <v>115</v>
      </c>
      <c r="D136" s="7"/>
      <c r="E136" s="7"/>
      <c r="G136" s="18" t="e">
        <f t="shared" ref="G136:AD136" ca="1" si="36">SUM(G130:G135)*-1</f>
        <v>#NAME?</v>
      </c>
      <c r="H136" s="18" t="e">
        <f t="shared" ca="1" si="36"/>
        <v>#NAME?</v>
      </c>
      <c r="I136" s="18" t="e">
        <f t="shared" ca="1" si="36"/>
        <v>#NAME?</v>
      </c>
      <c r="J136" s="18" t="e">
        <f t="shared" ca="1" si="36"/>
        <v>#NAME?</v>
      </c>
      <c r="K136" s="18" t="e">
        <f t="shared" ca="1" si="36"/>
        <v>#NAME?</v>
      </c>
      <c r="L136" s="18" t="e">
        <f t="shared" ca="1" si="36"/>
        <v>#NAME?</v>
      </c>
      <c r="M136" s="18" t="e">
        <f t="shared" ca="1" si="36"/>
        <v>#NAME?</v>
      </c>
      <c r="N136" s="18" t="e">
        <f t="shared" ca="1" si="36"/>
        <v>#NAME?</v>
      </c>
      <c r="O136" s="18" t="e">
        <f t="shared" ca="1" si="36"/>
        <v>#NAME?</v>
      </c>
      <c r="P136" s="18" t="e">
        <f t="shared" ca="1" si="36"/>
        <v>#NAME?</v>
      </c>
      <c r="Q136" s="18" t="e">
        <f t="shared" ca="1" si="36"/>
        <v>#NAME?</v>
      </c>
      <c r="R136" s="18" t="e">
        <f t="shared" ca="1" si="36"/>
        <v>#NAME?</v>
      </c>
      <c r="S136" s="18" t="e">
        <f t="shared" ca="1" si="36"/>
        <v>#NAME?</v>
      </c>
      <c r="T136" s="18" t="e">
        <f t="shared" ca="1" si="36"/>
        <v>#NAME?</v>
      </c>
      <c r="U136" s="18" t="e">
        <f t="shared" ca="1" si="36"/>
        <v>#NAME?</v>
      </c>
      <c r="V136" s="18" t="e">
        <f t="shared" ca="1" si="36"/>
        <v>#NAME?</v>
      </c>
      <c r="W136" s="18" t="e">
        <f t="shared" ca="1" si="36"/>
        <v>#NAME?</v>
      </c>
      <c r="X136" s="18" t="e">
        <f t="shared" ca="1" si="36"/>
        <v>#NAME?</v>
      </c>
      <c r="Y136" s="18" t="e">
        <f t="shared" ca="1" si="36"/>
        <v>#NAME?</v>
      </c>
      <c r="Z136" s="18" t="e">
        <f t="shared" ca="1" si="36"/>
        <v>#NAME?</v>
      </c>
      <c r="AA136" s="18" t="e">
        <f t="shared" ca="1" si="36"/>
        <v>#NAME?</v>
      </c>
      <c r="AB136" s="18" t="e">
        <f t="shared" ca="1" si="36"/>
        <v>#NAME?</v>
      </c>
      <c r="AC136" s="18" t="e">
        <f t="shared" ca="1" si="36"/>
        <v>#NAME?</v>
      </c>
      <c r="AD136" s="18" t="e">
        <f t="shared" ca="1" si="36"/>
        <v>#NAME?</v>
      </c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</row>
    <row r="137" spans="2:66" x14ac:dyDescent="0.35">
      <c r="B137" s="33" t="s">
        <v>140</v>
      </c>
      <c r="C137" s="17" t="s">
        <v>115</v>
      </c>
      <c r="D137" s="7"/>
      <c r="E137" s="7"/>
      <c r="G137" s="18">
        <f t="shared" ref="G137:AD137" si="37">-G66</f>
        <v>-1369.6189184307036</v>
      </c>
      <c r="H137" s="18">
        <f t="shared" si="37"/>
        <v>-1397.011296799318</v>
      </c>
      <c r="I137" s="18">
        <f t="shared" si="37"/>
        <v>-1424.9515227353043</v>
      </c>
      <c r="J137" s="18">
        <f t="shared" si="37"/>
        <v>-1453.4505531900104</v>
      </c>
      <c r="K137" s="18">
        <f t="shared" si="37"/>
        <v>-1482.5195642538108</v>
      </c>
      <c r="L137" s="18">
        <f t="shared" si="37"/>
        <v>-1512.1699555388871</v>
      </c>
      <c r="M137" s="18">
        <f t="shared" si="37"/>
        <v>-1542.4133546496648</v>
      </c>
      <c r="N137" s="18">
        <f t="shared" si="37"/>
        <v>-1573.2616217426582</v>
      </c>
      <c r="O137" s="18">
        <f t="shared" si="37"/>
        <v>-1604.7268541775115</v>
      </c>
      <c r="P137" s="18">
        <f t="shared" si="37"/>
        <v>-1636.8213912610615</v>
      </c>
      <c r="Q137" s="18">
        <f t="shared" si="37"/>
        <v>-1669.5578190862827</v>
      </c>
      <c r="R137" s="18">
        <f t="shared" si="37"/>
        <v>-1702.9489754680085</v>
      </c>
      <c r="S137" s="18">
        <f t="shared" si="37"/>
        <v>-1737.0079549773686</v>
      </c>
      <c r="T137" s="18">
        <f t="shared" si="37"/>
        <v>-1771.7481140769162</v>
      </c>
      <c r="U137" s="18">
        <f t="shared" si="37"/>
        <v>-1807.1830763584546</v>
      </c>
      <c r="V137" s="18">
        <f t="shared" si="37"/>
        <v>-1843.3267378856235</v>
      </c>
      <c r="W137" s="18">
        <f t="shared" si="37"/>
        <v>-1880.1932726433361</v>
      </c>
      <c r="X137" s="18">
        <f t="shared" si="37"/>
        <v>-1917.7971380962028</v>
      </c>
      <c r="Y137" s="18">
        <f t="shared" si="37"/>
        <v>-1956.1530808581267</v>
      </c>
      <c r="Z137" s="18">
        <f t="shared" si="37"/>
        <v>-1995.2761424752894</v>
      </c>
      <c r="AA137" s="18">
        <f t="shared" si="37"/>
        <v>-2035.1816653247949</v>
      </c>
      <c r="AB137" s="18">
        <f t="shared" si="37"/>
        <v>-2075.8852986312909</v>
      </c>
      <c r="AC137" s="18">
        <f t="shared" si="37"/>
        <v>-2117.4030046039165</v>
      </c>
      <c r="AD137" s="18">
        <f t="shared" si="37"/>
        <v>-2159.751064695995</v>
      </c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</row>
    <row r="138" spans="2:66" x14ac:dyDescent="0.35">
      <c r="C138" s="17"/>
    </row>
    <row r="139" spans="2:66" x14ac:dyDescent="0.35">
      <c r="B139" s="3" t="s">
        <v>146</v>
      </c>
      <c r="C139" s="17" t="s">
        <v>115</v>
      </c>
      <c r="D139" s="7"/>
      <c r="E139" s="7"/>
      <c r="G139" s="6" t="e">
        <f t="shared" ref="G139:AD139" ca="1" si="38">SUM(G125:G127,G136:G137)</f>
        <v>#NAME?</v>
      </c>
      <c r="H139" s="6" t="e">
        <f t="shared" ca="1" si="38"/>
        <v>#NAME?</v>
      </c>
      <c r="I139" s="6" t="e">
        <f t="shared" ca="1" si="38"/>
        <v>#NAME?</v>
      </c>
      <c r="J139" s="6" t="e">
        <f t="shared" ca="1" si="38"/>
        <v>#NAME?</v>
      </c>
      <c r="K139" s="6" t="e">
        <f t="shared" ca="1" si="38"/>
        <v>#NAME?</v>
      </c>
      <c r="L139" s="6" t="e">
        <f t="shared" ca="1" si="38"/>
        <v>#NAME?</v>
      </c>
      <c r="M139" s="6" t="e">
        <f t="shared" ca="1" si="38"/>
        <v>#NAME?</v>
      </c>
      <c r="N139" s="6" t="e">
        <f t="shared" ca="1" si="38"/>
        <v>#NAME?</v>
      </c>
      <c r="O139" s="6" t="e">
        <f t="shared" ca="1" si="38"/>
        <v>#NAME?</v>
      </c>
      <c r="P139" s="6" t="e">
        <f t="shared" ca="1" si="38"/>
        <v>#NAME?</v>
      </c>
      <c r="Q139" s="6" t="e">
        <f t="shared" ca="1" si="38"/>
        <v>#NAME?</v>
      </c>
      <c r="R139" s="6" t="e">
        <f t="shared" ca="1" si="38"/>
        <v>#NAME?</v>
      </c>
      <c r="S139" s="6" t="e">
        <f t="shared" ca="1" si="38"/>
        <v>#NAME?</v>
      </c>
      <c r="T139" s="6" t="e">
        <f t="shared" ca="1" si="38"/>
        <v>#NAME?</v>
      </c>
      <c r="U139" s="6" t="e">
        <f t="shared" ca="1" si="38"/>
        <v>#NAME?</v>
      </c>
      <c r="V139" s="6" t="e">
        <f t="shared" ca="1" si="38"/>
        <v>#NAME?</v>
      </c>
      <c r="W139" s="6" t="e">
        <f t="shared" ca="1" si="38"/>
        <v>#NAME?</v>
      </c>
      <c r="X139" s="6" t="e">
        <f t="shared" ca="1" si="38"/>
        <v>#NAME?</v>
      </c>
      <c r="Y139" s="6" t="e">
        <f t="shared" ca="1" si="38"/>
        <v>#NAME?</v>
      </c>
      <c r="Z139" s="6" t="e">
        <f t="shared" ca="1" si="38"/>
        <v>#NAME?</v>
      </c>
      <c r="AA139" s="6" t="e">
        <f t="shared" ca="1" si="38"/>
        <v>#NAME?</v>
      </c>
      <c r="AB139" s="6" t="e">
        <f t="shared" ca="1" si="38"/>
        <v>#NAME?</v>
      </c>
      <c r="AC139" s="6" t="e">
        <f t="shared" ca="1" si="38"/>
        <v>#NAME?</v>
      </c>
      <c r="AD139" s="6" t="e">
        <f t="shared" ca="1" si="38"/>
        <v>#NAME?</v>
      </c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2:66" x14ac:dyDescent="0.35"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</row>
    <row r="141" spans="2:66" x14ac:dyDescent="0.35">
      <c r="B141" s="3" t="s">
        <v>145</v>
      </c>
      <c r="C141" s="17" t="s">
        <v>114</v>
      </c>
      <c r="D141" s="7"/>
      <c r="E141" s="7"/>
      <c r="F141" s="18" t="e">
        <f ca="1">MATCH(0,G139:BN139,1)</f>
        <v>#N/A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2:66" x14ac:dyDescent="0.35">
      <c r="B142" s="3" t="s">
        <v>147</v>
      </c>
      <c r="C142" s="17" t="s">
        <v>115</v>
      </c>
      <c r="D142" s="7"/>
      <c r="E142" s="7"/>
      <c r="F142" s="18" t="e">
        <f ca="1">INDEX(G139:BN139,1,F141)</f>
        <v>#N/A</v>
      </c>
      <c r="G142" s="18" t="e">
        <f ca="1">INDEX(G139:BN139,1,F141+1)</f>
        <v>#N/A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spans="2:66" x14ac:dyDescent="0.35">
      <c r="B143" s="3" t="s">
        <v>54</v>
      </c>
      <c r="C143" s="17" t="s">
        <v>114</v>
      </c>
      <c r="D143" s="7"/>
      <c r="E143" s="7"/>
      <c r="F143" s="6" t="e">
        <f ca="1">ABS(F142)/(ABS(F142)+ABS(G142))</f>
        <v>#N/A</v>
      </c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spans="2:66" x14ac:dyDescent="0.35">
      <c r="B144" s="3" t="s">
        <v>11</v>
      </c>
      <c r="C144" s="17" t="s">
        <v>114</v>
      </c>
      <c r="D144" s="7"/>
      <c r="E144" s="7"/>
      <c r="F144" s="6" t="e">
        <f ca="1">F141+F143</f>
        <v>#N/A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spans="1:66" x14ac:dyDescent="0.35">
      <c r="C145" s="17"/>
      <c r="F145" s="6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spans="1:66" ht="23.5" x14ac:dyDescent="0.55000000000000004">
      <c r="A146" s="55" t="s">
        <v>8</v>
      </c>
      <c r="C146" s="17"/>
    </row>
    <row r="147" spans="1:66" x14ac:dyDescent="0.35">
      <c r="C147" s="17"/>
    </row>
    <row r="148" spans="1:66" x14ac:dyDescent="0.35">
      <c r="B148" s="3" t="s">
        <v>112</v>
      </c>
      <c r="C148" s="17" t="s">
        <v>115</v>
      </c>
      <c r="D148" s="7"/>
      <c r="E148" s="7"/>
      <c r="G148" s="18" t="e">
        <f ca="1">G95</f>
        <v>#NAME?</v>
      </c>
      <c r="H148" s="18" t="e">
        <f t="shared" ref="H148:K148" ca="1" si="39">H95</f>
        <v>#NAME?</v>
      </c>
      <c r="I148" s="18" t="e">
        <f t="shared" ca="1" si="39"/>
        <v>#NAME?</v>
      </c>
      <c r="J148" s="18" t="e">
        <f t="shared" ca="1" si="39"/>
        <v>#NAME?</v>
      </c>
      <c r="K148" s="18" t="e">
        <f t="shared" ca="1" si="39"/>
        <v>#NAME?</v>
      </c>
      <c r="L148" s="18" t="e">
        <f ca="1">L95</f>
        <v>#NAME?</v>
      </c>
      <c r="M148" s="18" t="e">
        <f ca="1">M95</f>
        <v>#NAME?</v>
      </c>
      <c r="N148" s="18" t="e">
        <f t="shared" ref="N148:T148" ca="1" si="40">N95</f>
        <v>#NAME?</v>
      </c>
      <c r="O148" s="18" t="e">
        <f t="shared" ca="1" si="40"/>
        <v>#NAME?</v>
      </c>
      <c r="P148" s="18" t="e">
        <f t="shared" ca="1" si="40"/>
        <v>#NAME?</v>
      </c>
      <c r="Q148" s="18" t="e">
        <f t="shared" ca="1" si="40"/>
        <v>#NAME?</v>
      </c>
      <c r="R148" s="18" t="e">
        <f t="shared" ca="1" si="40"/>
        <v>#NAME?</v>
      </c>
      <c r="S148" s="18" t="e">
        <f t="shared" ca="1" si="40"/>
        <v>#NAME?</v>
      </c>
      <c r="T148" s="18" t="e">
        <f t="shared" ca="1" si="40"/>
        <v>#NAME?</v>
      </c>
      <c r="U148" s="18" t="e">
        <f t="shared" ref="U148:Y148" ca="1" si="41">U95</f>
        <v>#NAME?</v>
      </c>
      <c r="V148" s="18" t="e">
        <f t="shared" ca="1" si="41"/>
        <v>#NAME?</v>
      </c>
      <c r="W148" s="18" t="e">
        <f t="shared" ca="1" si="41"/>
        <v>#NAME?</v>
      </c>
      <c r="X148" s="18" t="e">
        <f t="shared" ca="1" si="41"/>
        <v>#NAME?</v>
      </c>
      <c r="Y148" s="18" t="e">
        <f t="shared" ca="1" si="41"/>
        <v>#NAME?</v>
      </c>
    </row>
    <row r="149" spans="1:66" x14ac:dyDescent="0.35">
      <c r="B149" s="3" t="s">
        <v>110</v>
      </c>
      <c r="C149" s="17" t="s">
        <v>154</v>
      </c>
      <c r="D149" s="7"/>
      <c r="E149" s="7"/>
      <c r="G149" s="6">
        <f>'Supplementary inputs'!G9</f>
        <v>1.0466355199999997</v>
      </c>
      <c r="H149" s="6">
        <f>'Supplementary inputs'!H9</f>
        <v>1.0675682303999998</v>
      </c>
      <c r="I149" s="6">
        <f>'Supplementary inputs'!I9</f>
        <v>1.0889195950079997</v>
      </c>
      <c r="J149" s="6">
        <f>'Supplementary inputs'!J9</f>
        <v>1.1106979869081597</v>
      </c>
      <c r="K149" s="6">
        <f>'Supplementary inputs'!K9</f>
        <v>1.1329119466463229</v>
      </c>
      <c r="L149" s="6">
        <f>'Supplementary inputs'!L9</f>
        <v>1.1555701855792493</v>
      </c>
      <c r="M149" s="6">
        <f>L149*(1+M19)</f>
        <v>1.1786815892908342</v>
      </c>
      <c r="N149" s="6">
        <f t="shared" ref="N149:Y149" si="42">M149*(1+N19)</f>
        <v>1.2022552210766508</v>
      </c>
      <c r="O149" s="6">
        <f t="shared" si="42"/>
        <v>1.2263003254981839</v>
      </c>
      <c r="P149" s="6">
        <f t="shared" si="42"/>
        <v>1.2508263320081476</v>
      </c>
      <c r="Q149" s="6">
        <f t="shared" si="42"/>
        <v>1.2758428586483106</v>
      </c>
      <c r="R149" s="6">
        <f t="shared" si="42"/>
        <v>1.3013597158212769</v>
      </c>
      <c r="S149" s="6">
        <f t="shared" si="42"/>
        <v>1.3273869101377025</v>
      </c>
      <c r="T149" s="6">
        <f t="shared" si="42"/>
        <v>1.3539346483404566</v>
      </c>
      <c r="U149" s="6">
        <f t="shared" si="42"/>
        <v>1.3810133413072658</v>
      </c>
      <c r="V149" s="6">
        <f t="shared" si="42"/>
        <v>1.4086336081334112</v>
      </c>
      <c r="W149" s="6">
        <f t="shared" si="42"/>
        <v>1.4368062802960795</v>
      </c>
      <c r="X149" s="6">
        <f t="shared" si="42"/>
        <v>1.465542405902001</v>
      </c>
      <c r="Y149" s="6">
        <f t="shared" si="42"/>
        <v>1.494853254020041</v>
      </c>
    </row>
    <row r="150" spans="1:66" x14ac:dyDescent="0.35">
      <c r="B150" s="3" t="s">
        <v>112</v>
      </c>
      <c r="C150" s="17" t="s">
        <v>155</v>
      </c>
      <c r="D150" s="7"/>
      <c r="E150" s="7"/>
      <c r="G150" s="18" t="e">
        <f ca="1">G148/G149</f>
        <v>#NAME?</v>
      </c>
      <c r="H150" s="18" t="e">
        <f t="shared" ref="H150:K150" ca="1" si="43">H148/H149</f>
        <v>#NAME?</v>
      </c>
      <c r="I150" s="18" t="e">
        <f t="shared" ca="1" si="43"/>
        <v>#NAME?</v>
      </c>
      <c r="J150" s="18" t="e">
        <f t="shared" ca="1" si="43"/>
        <v>#NAME?</v>
      </c>
      <c r="K150" s="18" t="e">
        <f t="shared" ca="1" si="43"/>
        <v>#NAME?</v>
      </c>
      <c r="L150" s="18" t="e">
        <f ca="1">L148/L149</f>
        <v>#NAME?</v>
      </c>
      <c r="M150" s="18" t="e">
        <f ca="1">M148/M149</f>
        <v>#NAME?</v>
      </c>
      <c r="N150" s="18" t="e">
        <f t="shared" ref="N150:T150" ca="1" si="44">N148/N149</f>
        <v>#NAME?</v>
      </c>
      <c r="O150" s="18" t="e">
        <f t="shared" ca="1" si="44"/>
        <v>#NAME?</v>
      </c>
      <c r="P150" s="18" t="e">
        <f t="shared" ca="1" si="44"/>
        <v>#NAME?</v>
      </c>
      <c r="Q150" s="18" t="e">
        <f t="shared" ca="1" si="44"/>
        <v>#NAME?</v>
      </c>
      <c r="R150" s="18" t="e">
        <f t="shared" ca="1" si="44"/>
        <v>#NAME?</v>
      </c>
      <c r="S150" s="18" t="e">
        <f t="shared" ca="1" si="44"/>
        <v>#NAME?</v>
      </c>
      <c r="T150" s="18" t="e">
        <f t="shared" ca="1" si="44"/>
        <v>#NAME?</v>
      </c>
      <c r="U150" s="18" t="e">
        <f t="shared" ref="U150" ca="1" si="45">U148/U149</f>
        <v>#NAME?</v>
      </c>
      <c r="V150" s="18" t="e">
        <f t="shared" ref="V150" ca="1" si="46">V148/V149</f>
        <v>#NAME?</v>
      </c>
      <c r="W150" s="18" t="e">
        <f t="shared" ref="W150" ca="1" si="47">W148/W149</f>
        <v>#NAME?</v>
      </c>
      <c r="X150" s="18" t="e">
        <f t="shared" ref="X150:Y150" ca="1" si="48">X148/X149</f>
        <v>#NAME?</v>
      </c>
      <c r="Y150" s="18" t="e">
        <f t="shared" ca="1" si="48"/>
        <v>#NAME?</v>
      </c>
    </row>
    <row r="151" spans="1:66" x14ac:dyDescent="0.35">
      <c r="C151" s="17"/>
    </row>
    <row r="152" spans="1:66" x14ac:dyDescent="0.35">
      <c r="B152" s="56" t="s">
        <v>148</v>
      </c>
      <c r="C152" s="17" t="s">
        <v>89</v>
      </c>
      <c r="D152" s="7"/>
      <c r="E152" s="7"/>
      <c r="G152" s="18" t="e">
        <f t="shared" ref="G152:AD152" ca="1" si="49">-G110/G35/G37</f>
        <v>#NAME?</v>
      </c>
      <c r="H152" s="18" t="e">
        <f t="shared" ca="1" si="49"/>
        <v>#NAME?</v>
      </c>
      <c r="I152" s="18" t="e">
        <f t="shared" ca="1" si="49"/>
        <v>#NAME?</v>
      </c>
      <c r="J152" s="18" t="e">
        <f t="shared" ca="1" si="49"/>
        <v>#NAME?</v>
      </c>
      <c r="K152" s="18" t="e">
        <f t="shared" ca="1" si="49"/>
        <v>#NAME?</v>
      </c>
      <c r="L152" s="18" t="e">
        <f t="shared" ca="1" si="49"/>
        <v>#NAME?</v>
      </c>
      <c r="M152" s="18" t="e">
        <f t="shared" ca="1" si="49"/>
        <v>#NAME?</v>
      </c>
      <c r="N152" s="18" t="e">
        <f t="shared" ca="1" si="49"/>
        <v>#NAME?</v>
      </c>
      <c r="O152" s="18" t="e">
        <f t="shared" ca="1" si="49"/>
        <v>#NAME?</v>
      </c>
      <c r="P152" s="18" t="e">
        <f t="shared" ca="1" si="49"/>
        <v>#NAME?</v>
      </c>
      <c r="Q152" s="18" t="e">
        <f t="shared" ca="1" si="49"/>
        <v>#NAME?</v>
      </c>
      <c r="R152" s="18" t="e">
        <f t="shared" ca="1" si="49"/>
        <v>#NAME?</v>
      </c>
      <c r="S152" s="18" t="e">
        <f t="shared" ca="1" si="49"/>
        <v>#NAME?</v>
      </c>
      <c r="T152" s="18" t="e">
        <f t="shared" ca="1" si="49"/>
        <v>#NAME?</v>
      </c>
      <c r="U152" s="18" t="e">
        <f t="shared" ca="1" si="49"/>
        <v>#NAME?</v>
      </c>
      <c r="V152" s="18" t="e">
        <f t="shared" ca="1" si="49"/>
        <v>#NAME?</v>
      </c>
      <c r="W152" s="18" t="e">
        <f t="shared" ca="1" si="49"/>
        <v>#NAME?</v>
      </c>
      <c r="X152" s="18" t="e">
        <f t="shared" ca="1" si="49"/>
        <v>#NAME?</v>
      </c>
      <c r="Y152" s="18" t="e">
        <f t="shared" ca="1" si="49"/>
        <v>#NAME?</v>
      </c>
      <c r="Z152" s="18" t="e">
        <f t="shared" ca="1" si="49"/>
        <v>#NAME?</v>
      </c>
      <c r="AA152" s="18" t="e">
        <f t="shared" ca="1" si="49"/>
        <v>#NAME?</v>
      </c>
      <c r="AB152" s="18" t="e">
        <f t="shared" ca="1" si="49"/>
        <v>#NAME?</v>
      </c>
      <c r="AC152" s="18" t="e">
        <f t="shared" ca="1" si="49"/>
        <v>#NAME?</v>
      </c>
      <c r="AD152" s="18" t="e">
        <f t="shared" ca="1" si="49"/>
        <v>#NAME?</v>
      </c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</row>
    <row r="153" spans="1:66" x14ac:dyDescent="0.35">
      <c r="B153" s="56" t="s">
        <v>149</v>
      </c>
      <c r="C153" s="17" t="s">
        <v>89</v>
      </c>
      <c r="D153" s="7"/>
      <c r="E153" s="7"/>
      <c r="G153" s="18">
        <f t="shared" ref="G153:AD153" si="50">G59/G35</f>
        <v>168.29999999999998</v>
      </c>
      <c r="H153" s="18">
        <f t="shared" si="50"/>
        <v>166.61700000000002</v>
      </c>
      <c r="I153" s="18">
        <f t="shared" si="50"/>
        <v>164.95083</v>
      </c>
      <c r="J153" s="18">
        <f t="shared" si="50"/>
        <v>163.30132169999999</v>
      </c>
      <c r="K153" s="18">
        <f t="shared" si="50"/>
        <v>161.668308483</v>
      </c>
      <c r="L153" s="18">
        <f t="shared" si="50"/>
        <v>160.05162539816996</v>
      </c>
      <c r="M153" s="18">
        <f t="shared" si="50"/>
        <v>158.85123820768374</v>
      </c>
      <c r="N153" s="18">
        <f t="shared" si="50"/>
        <v>157.65985392112609</v>
      </c>
      <c r="O153" s="18">
        <f t="shared" si="50"/>
        <v>156.47740501671765</v>
      </c>
      <c r="P153" s="18">
        <f t="shared" si="50"/>
        <v>155.3038244790923</v>
      </c>
      <c r="Q153" s="18">
        <f t="shared" si="50"/>
        <v>154.13904579549907</v>
      </c>
      <c r="R153" s="18">
        <f t="shared" si="50"/>
        <v>152.98300295203285</v>
      </c>
      <c r="S153" s="18">
        <f t="shared" si="50"/>
        <v>151.8356304298926</v>
      </c>
      <c r="T153" s="18">
        <f t="shared" si="50"/>
        <v>150.69686320166844</v>
      </c>
      <c r="U153" s="18">
        <f t="shared" si="50"/>
        <v>149.56663672765592</v>
      </c>
      <c r="V153" s="18">
        <f t="shared" si="50"/>
        <v>148.44488695219852</v>
      </c>
      <c r="W153" s="18">
        <f t="shared" si="50"/>
        <v>147.33155030005702</v>
      </c>
      <c r="X153" s="18">
        <f t="shared" si="50"/>
        <v>146.22656367280663</v>
      </c>
      <c r="Y153" s="18">
        <f t="shared" si="50"/>
        <v>145.12986444526058</v>
      </c>
      <c r="Z153" s="18">
        <f t="shared" si="50"/>
        <v>144.04139046192117</v>
      </c>
      <c r="AA153" s="18">
        <f t="shared" si="50"/>
        <v>142.96108003345674</v>
      </c>
      <c r="AB153" s="18">
        <f t="shared" si="50"/>
        <v>141.88887193320582</v>
      </c>
      <c r="AC153" s="18">
        <f t="shared" si="50"/>
        <v>140.82470539370681</v>
      </c>
      <c r="AD153" s="18">
        <f t="shared" si="50"/>
        <v>139.76852010325399</v>
      </c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</row>
    <row r="154" spans="1:66" x14ac:dyDescent="0.35">
      <c r="B154" s="56" t="s">
        <v>151</v>
      </c>
      <c r="C154" s="17" t="s">
        <v>89</v>
      </c>
      <c r="D154" s="7"/>
      <c r="E154" s="7"/>
      <c r="G154" s="18" t="e">
        <f ca="1">-G112/G35</f>
        <v>#NAME?</v>
      </c>
      <c r="H154" s="18" t="e">
        <f t="shared" ref="H154:AD154" ca="1" si="51">-H112/H35</f>
        <v>#NAME?</v>
      </c>
      <c r="I154" s="18" t="e">
        <f t="shared" ca="1" si="51"/>
        <v>#NAME?</v>
      </c>
      <c r="J154" s="18" t="e">
        <f t="shared" ca="1" si="51"/>
        <v>#NAME?</v>
      </c>
      <c r="K154" s="18" t="e">
        <f t="shared" ca="1" si="51"/>
        <v>#NAME?</v>
      </c>
      <c r="L154" s="18" t="e">
        <f t="shared" ca="1" si="51"/>
        <v>#NAME?</v>
      </c>
      <c r="M154" s="18" t="e">
        <f t="shared" ca="1" si="51"/>
        <v>#NAME?</v>
      </c>
      <c r="N154" s="18" t="e">
        <f t="shared" ca="1" si="51"/>
        <v>#NAME?</v>
      </c>
      <c r="O154" s="18" t="e">
        <f t="shared" ca="1" si="51"/>
        <v>#NAME?</v>
      </c>
      <c r="P154" s="18" t="e">
        <f t="shared" ca="1" si="51"/>
        <v>#NAME?</v>
      </c>
      <c r="Q154" s="18" t="e">
        <f t="shared" ca="1" si="51"/>
        <v>#NAME?</v>
      </c>
      <c r="R154" s="18" t="e">
        <f t="shared" ca="1" si="51"/>
        <v>#NAME?</v>
      </c>
      <c r="S154" s="18" t="e">
        <f t="shared" ca="1" si="51"/>
        <v>#NAME?</v>
      </c>
      <c r="T154" s="18" t="e">
        <f t="shared" ca="1" si="51"/>
        <v>#NAME?</v>
      </c>
      <c r="U154" s="18" t="e">
        <f t="shared" ca="1" si="51"/>
        <v>#NAME?</v>
      </c>
      <c r="V154" s="18" t="e">
        <f t="shared" ca="1" si="51"/>
        <v>#NAME?</v>
      </c>
      <c r="W154" s="18" t="e">
        <f t="shared" ca="1" si="51"/>
        <v>#NAME?</v>
      </c>
      <c r="X154" s="18" t="e">
        <f t="shared" ca="1" si="51"/>
        <v>#NAME?</v>
      </c>
      <c r="Y154" s="18" t="e">
        <f t="shared" ca="1" si="51"/>
        <v>#NAME?</v>
      </c>
      <c r="Z154" s="18" t="e">
        <f t="shared" ca="1" si="51"/>
        <v>#NAME?</v>
      </c>
      <c r="AA154" s="18" t="e">
        <f t="shared" ca="1" si="51"/>
        <v>#NAME?</v>
      </c>
      <c r="AB154" s="18" t="e">
        <f t="shared" ca="1" si="51"/>
        <v>#NAME?</v>
      </c>
      <c r="AC154" s="18" t="e">
        <f t="shared" ca="1" si="51"/>
        <v>#NAME?</v>
      </c>
      <c r="AD154" s="18" t="e">
        <f t="shared" ca="1" si="51"/>
        <v>#NAME?</v>
      </c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</row>
    <row r="155" spans="1:66" x14ac:dyDescent="0.35">
      <c r="B155" s="3" t="s">
        <v>150</v>
      </c>
      <c r="C155" s="17" t="s">
        <v>89</v>
      </c>
      <c r="D155" s="7"/>
      <c r="E155" s="7"/>
      <c r="G155" s="18" t="e">
        <f ca="1">G153+G154</f>
        <v>#NAME?</v>
      </c>
      <c r="H155" s="18" t="e">
        <f t="shared" ref="H155:AD155" ca="1" si="52">H153+H154</f>
        <v>#NAME?</v>
      </c>
      <c r="I155" s="18" t="e">
        <f t="shared" ca="1" si="52"/>
        <v>#NAME?</v>
      </c>
      <c r="J155" s="18" t="e">
        <f t="shared" ca="1" si="52"/>
        <v>#NAME?</v>
      </c>
      <c r="K155" s="18" t="e">
        <f t="shared" ca="1" si="52"/>
        <v>#NAME?</v>
      </c>
      <c r="L155" s="18" t="e">
        <f t="shared" ca="1" si="52"/>
        <v>#NAME?</v>
      </c>
      <c r="M155" s="18" t="e">
        <f t="shared" ca="1" si="52"/>
        <v>#NAME?</v>
      </c>
      <c r="N155" s="18" t="e">
        <f t="shared" ca="1" si="52"/>
        <v>#NAME?</v>
      </c>
      <c r="O155" s="18" t="e">
        <f t="shared" ca="1" si="52"/>
        <v>#NAME?</v>
      </c>
      <c r="P155" s="18" t="e">
        <f t="shared" ca="1" si="52"/>
        <v>#NAME?</v>
      </c>
      <c r="Q155" s="18" t="e">
        <f t="shared" ca="1" si="52"/>
        <v>#NAME?</v>
      </c>
      <c r="R155" s="18" t="e">
        <f t="shared" ca="1" si="52"/>
        <v>#NAME?</v>
      </c>
      <c r="S155" s="18" t="e">
        <f t="shared" ca="1" si="52"/>
        <v>#NAME?</v>
      </c>
      <c r="T155" s="18" t="e">
        <f t="shared" ca="1" si="52"/>
        <v>#NAME?</v>
      </c>
      <c r="U155" s="18" t="e">
        <f t="shared" ca="1" si="52"/>
        <v>#NAME?</v>
      </c>
      <c r="V155" s="18" t="e">
        <f t="shared" ca="1" si="52"/>
        <v>#NAME?</v>
      </c>
      <c r="W155" s="18" t="e">
        <f t="shared" ca="1" si="52"/>
        <v>#NAME?</v>
      </c>
      <c r="X155" s="18" t="e">
        <f t="shared" ca="1" si="52"/>
        <v>#NAME?</v>
      </c>
      <c r="Y155" s="18" t="e">
        <f t="shared" ca="1" si="52"/>
        <v>#NAME?</v>
      </c>
      <c r="Z155" s="18" t="e">
        <f t="shared" ca="1" si="52"/>
        <v>#NAME?</v>
      </c>
      <c r="AA155" s="18" t="e">
        <f t="shared" ca="1" si="52"/>
        <v>#NAME?</v>
      </c>
      <c r="AB155" s="18" t="e">
        <f t="shared" ca="1" si="52"/>
        <v>#NAME?</v>
      </c>
      <c r="AC155" s="18" t="e">
        <f t="shared" ca="1" si="52"/>
        <v>#NAME?</v>
      </c>
      <c r="AD155" s="18" t="e">
        <f t="shared" ca="1" si="52"/>
        <v>#NAME?</v>
      </c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</row>
    <row r="156" spans="1:66" x14ac:dyDescent="0.35">
      <c r="C156" s="17"/>
    </row>
    <row r="157" spans="1:66" x14ac:dyDescent="0.35">
      <c r="B157" s="56" t="s">
        <v>152</v>
      </c>
      <c r="C157" s="17" t="s">
        <v>89</v>
      </c>
      <c r="D157" s="7"/>
      <c r="E157" s="7"/>
      <c r="G157" s="18" t="e">
        <f ca="1">AVERAGE(G154:L154)</f>
        <v>#NAME?</v>
      </c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</row>
    <row r="158" spans="1:66" x14ac:dyDescent="0.35">
      <c r="C158" s="1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</row>
    <row r="159" spans="1:66" x14ac:dyDescent="0.35">
      <c r="B159" s="3" t="s">
        <v>166</v>
      </c>
      <c r="C159" s="17" t="s">
        <v>89</v>
      </c>
      <c r="G159" s="18" t="e">
        <f ca="1">SUM(G155:L155)</f>
        <v>#NAME?</v>
      </c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</row>
    <row r="160" spans="1:66" x14ac:dyDescent="0.35">
      <c r="B160" s="3" t="s">
        <v>153</v>
      </c>
      <c r="C160" s="17" t="s">
        <v>89</v>
      </c>
      <c r="D160" s="7"/>
      <c r="E160" s="7"/>
      <c r="G160" s="18" t="e">
        <f ca="1">AVERAGE(G155:L155)</f>
        <v>#NAME?</v>
      </c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</row>
    <row r="161" spans="3:66" x14ac:dyDescent="0.35">
      <c r="C161" s="17"/>
      <c r="D161" s="7"/>
      <c r="E161" s="7"/>
      <c r="G161" s="18"/>
      <c r="H161" s="18"/>
      <c r="I161" s="18"/>
      <c r="J161" s="18"/>
      <c r="K161" s="18"/>
      <c r="L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</row>
    <row r="162" spans="3:66" x14ac:dyDescent="0.35">
      <c r="C162" s="17"/>
      <c r="D162" s="7"/>
      <c r="E162" s="7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</row>
    <row r="163" spans="3:66" x14ac:dyDescent="0.35">
      <c r="G163" s="27"/>
      <c r="H163" s="18"/>
      <c r="I163" s="18"/>
      <c r="J163" s="18"/>
      <c r="K163" s="18"/>
      <c r="L163" s="18"/>
      <c r="M163" s="18"/>
    </row>
    <row r="164" spans="3:66" x14ac:dyDescent="0.35"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6" spans="3:66" s="62" customFormat="1" x14ac:dyDescent="0.35"/>
    <row r="167" spans="3:66" s="62" customFormat="1" x14ac:dyDescent="0.35"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</row>
    <row r="168" spans="3:66" s="62" customFormat="1" x14ac:dyDescent="0.35"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</row>
    <row r="169" spans="3:66" s="62" customFormat="1" x14ac:dyDescent="0.35">
      <c r="G169" s="65"/>
      <c r="I169" s="65"/>
      <c r="K169" s="65"/>
      <c r="M169" s="65"/>
      <c r="O169" s="65"/>
      <c r="Q169" s="65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</row>
    <row r="170" spans="3:66" s="62" customFormat="1" x14ac:dyDescent="0.35"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</row>
    <row r="171" spans="3:66" s="62" customFormat="1" x14ac:dyDescent="0.35">
      <c r="G171" s="65"/>
      <c r="I171" s="65"/>
      <c r="K171" s="65"/>
      <c r="M171" s="65"/>
      <c r="O171" s="65"/>
      <c r="Q171" s="65"/>
      <c r="AB171" s="65"/>
    </row>
    <row r="172" spans="3:66" s="62" customFormat="1" x14ac:dyDescent="0.35"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</row>
    <row r="173" spans="3:66" s="62" customFormat="1" x14ac:dyDescent="0.35"/>
    <row r="174" spans="3:66" s="62" customFormat="1" x14ac:dyDescent="0.35"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</row>
    <row r="175" spans="3:66" s="62" customFormat="1" x14ac:dyDescent="0.35">
      <c r="AC175" s="65"/>
      <c r="AD175" s="65"/>
    </row>
    <row r="176" spans="3:66" s="62" customFormat="1" x14ac:dyDescent="0.35">
      <c r="G176" s="65"/>
      <c r="H176" s="65"/>
      <c r="I176" s="65"/>
      <c r="J176" s="65"/>
      <c r="K176" s="65"/>
      <c r="L176" s="65"/>
      <c r="M176" s="67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</row>
    <row r="177" spans="7:12" s="62" customFormat="1" x14ac:dyDescent="0.35"/>
    <row r="178" spans="7:12" s="62" customFormat="1" x14ac:dyDescent="0.35"/>
    <row r="179" spans="7:12" s="62" customFormat="1" x14ac:dyDescent="0.35"/>
    <row r="180" spans="7:12" s="62" customFormat="1" x14ac:dyDescent="0.35">
      <c r="L180" s="65"/>
    </row>
    <row r="181" spans="7:12" s="62" customFormat="1" x14ac:dyDescent="0.35">
      <c r="L181" s="65"/>
    </row>
    <row r="182" spans="7:12" s="62" customFormat="1" x14ac:dyDescent="0.35">
      <c r="G182" s="65"/>
      <c r="H182" s="65"/>
      <c r="I182" s="65"/>
      <c r="J182" s="65"/>
    </row>
    <row r="183" spans="7:12" s="62" customFormat="1" x14ac:dyDescent="0.35">
      <c r="G183" s="65"/>
      <c r="H183" s="65"/>
      <c r="I183" s="65"/>
      <c r="J183" s="65"/>
    </row>
    <row r="185" spans="7:12" x14ac:dyDescent="0.35">
      <c r="G185" s="18"/>
      <c r="H185" s="18"/>
      <c r="I185" s="18"/>
      <c r="J185" s="18"/>
    </row>
    <row r="186" spans="7:12" x14ac:dyDescent="0.35">
      <c r="G186" s="18"/>
      <c r="H186" s="18"/>
      <c r="I186" s="18"/>
      <c r="J186" s="18"/>
    </row>
    <row r="188" spans="7:12" x14ac:dyDescent="0.35">
      <c r="G188" s="18"/>
      <c r="H188" s="18"/>
      <c r="I188" s="18"/>
      <c r="J188" s="18"/>
    </row>
    <row r="189" spans="7:12" x14ac:dyDescent="0.35">
      <c r="G189" s="18"/>
      <c r="H189" s="18"/>
      <c r="I189" s="18"/>
      <c r="J189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DEA0-B95C-499E-921C-F796387B3425}">
  <sheetPr codeName="Sheet4"/>
  <dimension ref="A1:N50"/>
  <sheetViews>
    <sheetView zoomScale="103" zoomScaleNormal="145" workbookViewId="0">
      <selection sqref="A1:XFD1048576"/>
    </sheetView>
  </sheetViews>
  <sheetFormatPr defaultRowHeight="14.5" x14ac:dyDescent="0.35"/>
  <cols>
    <col min="1" max="1" width="51.36328125" style="3" bestFit="1" customWidth="1"/>
    <col min="2" max="2" width="26.1796875" style="3" bestFit="1" customWidth="1"/>
    <col min="3" max="3" width="8.7265625" style="3"/>
    <col min="4" max="4" width="7.6328125" style="3" bestFit="1" customWidth="1"/>
    <col min="5" max="5" width="9.7265625" style="3" bestFit="1" customWidth="1"/>
    <col min="6" max="6" width="10" style="3" bestFit="1" customWidth="1"/>
    <col min="7" max="12" width="8.7265625" style="3"/>
    <col min="13" max="13" width="72.08984375" style="3" bestFit="1" customWidth="1"/>
    <col min="14" max="16384" width="8.7265625" style="3"/>
  </cols>
  <sheetData>
    <row r="1" spans="1:14" ht="18.5" x14ac:dyDescent="0.45">
      <c r="A1" s="29" t="s">
        <v>165</v>
      </c>
      <c r="B1" s="5"/>
      <c r="E1" s="6"/>
    </row>
    <row r="2" spans="1:14" x14ac:dyDescent="0.35">
      <c r="G2" s="7">
        <v>1</v>
      </c>
      <c r="H2" s="7">
        <v>2</v>
      </c>
      <c r="I2" s="7">
        <v>3</v>
      </c>
      <c r="J2" s="7">
        <v>4</v>
      </c>
      <c r="K2" s="7">
        <v>5</v>
      </c>
      <c r="L2" s="7">
        <v>6</v>
      </c>
      <c r="M2" s="3" t="s">
        <v>157</v>
      </c>
    </row>
    <row r="3" spans="1:14" ht="16" x14ac:dyDescent="0.35">
      <c r="B3" s="28" t="s">
        <v>162</v>
      </c>
      <c r="C3" s="28" t="s">
        <v>56</v>
      </c>
      <c r="D3" s="28" t="s">
        <v>57</v>
      </c>
      <c r="E3" s="28" t="s">
        <v>58</v>
      </c>
      <c r="F3" s="28" t="s">
        <v>42</v>
      </c>
      <c r="G3" s="28" t="s">
        <v>16</v>
      </c>
      <c r="H3" s="28" t="s">
        <v>17</v>
      </c>
      <c r="I3" s="28" t="s">
        <v>18</v>
      </c>
      <c r="J3" s="28" t="s">
        <v>19</v>
      </c>
      <c r="K3" s="28" t="s">
        <v>20</v>
      </c>
      <c r="L3" s="28" t="s">
        <v>21</v>
      </c>
      <c r="N3" s="106" t="s">
        <v>186</v>
      </c>
    </row>
    <row r="4" spans="1:14" x14ac:dyDescent="0.35">
      <c r="A4" s="9" t="s">
        <v>111</v>
      </c>
      <c r="B4" s="9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x14ac:dyDescent="0.35">
      <c r="A5" s="3" t="s">
        <v>158</v>
      </c>
      <c r="B5" s="7" t="s">
        <v>113</v>
      </c>
      <c r="D5" s="109">
        <v>3.0599999999999999E-2</v>
      </c>
      <c r="E5" s="109">
        <v>2.5901619513972889E-2</v>
      </c>
      <c r="F5" s="142">
        <v>1.6E-2</v>
      </c>
      <c r="G5" s="106"/>
      <c r="H5" s="106"/>
      <c r="I5" s="106"/>
      <c r="J5" s="106"/>
      <c r="K5" s="106"/>
      <c r="L5" s="106"/>
      <c r="M5" s="106" t="s">
        <v>221</v>
      </c>
    </row>
    <row r="6" spans="1:14" x14ac:dyDescent="0.35">
      <c r="A6" s="3" t="s">
        <v>122</v>
      </c>
      <c r="B6" s="7" t="s">
        <v>125</v>
      </c>
      <c r="C6" s="101">
        <v>1</v>
      </c>
      <c r="D6" s="10">
        <f>C6*(1+D5)</f>
        <v>1.0306</v>
      </c>
      <c r="E6" s="10">
        <f>D6*(1+E5)</f>
        <v>1.0572942090711004</v>
      </c>
      <c r="F6" s="10">
        <f>E6*(1+F5)</f>
        <v>1.0742109164162381</v>
      </c>
      <c r="G6" s="106"/>
      <c r="H6" s="106"/>
      <c r="I6" s="106"/>
      <c r="J6" s="106"/>
      <c r="K6" s="106"/>
      <c r="L6" s="106"/>
      <c r="M6" s="106"/>
    </row>
    <row r="7" spans="1:14" ht="18.5" x14ac:dyDescent="0.45">
      <c r="D7" s="5"/>
      <c r="G7" s="106"/>
      <c r="H7" s="106"/>
      <c r="I7" s="106"/>
      <c r="J7" s="106"/>
      <c r="K7" s="106"/>
      <c r="L7" s="106"/>
      <c r="M7" s="106"/>
    </row>
    <row r="8" spans="1:14" x14ac:dyDescent="0.35">
      <c r="A8" s="3" t="s">
        <v>159</v>
      </c>
      <c r="B8" s="7" t="s">
        <v>113</v>
      </c>
      <c r="D8" s="11"/>
      <c r="E8" s="110">
        <v>2.4E-2</v>
      </c>
      <c r="F8" s="110">
        <v>1.4999999999999999E-2</v>
      </c>
      <c r="G8" s="110">
        <v>7.0000000000000001E-3</v>
      </c>
      <c r="H8" s="110">
        <v>0.02</v>
      </c>
      <c r="I8" s="110">
        <v>0.02</v>
      </c>
      <c r="J8" s="110">
        <v>0.02</v>
      </c>
      <c r="K8" s="110">
        <v>0.02</v>
      </c>
      <c r="L8" s="110">
        <v>0.02</v>
      </c>
      <c r="M8" s="106" t="s">
        <v>213</v>
      </c>
    </row>
    <row r="9" spans="1:14" x14ac:dyDescent="0.35">
      <c r="A9" s="3" t="s">
        <v>156</v>
      </c>
      <c r="B9" s="7" t="s">
        <v>125</v>
      </c>
      <c r="D9" s="101">
        <v>1</v>
      </c>
      <c r="E9" s="6">
        <f>D9*(1+E8)</f>
        <v>1.024</v>
      </c>
      <c r="F9" s="6">
        <f t="shared" ref="F9:L9" si="0">E9*(1+F8)</f>
        <v>1.0393599999999998</v>
      </c>
      <c r="G9" s="6">
        <f t="shared" si="0"/>
        <v>1.0466355199999997</v>
      </c>
      <c r="H9" s="6">
        <f t="shared" si="0"/>
        <v>1.0675682303999998</v>
      </c>
      <c r="I9" s="6">
        <f t="shared" si="0"/>
        <v>1.0889195950079997</v>
      </c>
      <c r="J9" s="6">
        <f t="shared" si="0"/>
        <v>1.1106979869081597</v>
      </c>
      <c r="K9" s="6">
        <f t="shared" si="0"/>
        <v>1.1329119466463229</v>
      </c>
      <c r="L9" s="6">
        <f t="shared" si="0"/>
        <v>1.1555701855792493</v>
      </c>
    </row>
    <row r="10" spans="1:14" ht="18.5" x14ac:dyDescent="0.45">
      <c r="D10" s="5"/>
    </row>
    <row r="11" spans="1:14" ht="18.5" x14ac:dyDescent="0.45">
      <c r="A11" s="9" t="s">
        <v>47</v>
      </c>
      <c r="B11" s="9"/>
      <c r="D11" s="5"/>
    </row>
    <row r="12" spans="1:14" x14ac:dyDescent="0.35">
      <c r="A12" s="3" t="s">
        <v>92</v>
      </c>
      <c r="B12" s="12" t="s">
        <v>115</v>
      </c>
      <c r="F12" s="111">
        <v>12</v>
      </c>
      <c r="G12" s="106"/>
      <c r="H12" s="106"/>
      <c r="I12" s="106"/>
      <c r="J12" s="106"/>
      <c r="K12" s="106"/>
      <c r="L12" s="106"/>
      <c r="M12" s="106" t="s">
        <v>217</v>
      </c>
    </row>
    <row r="13" spans="1:14" x14ac:dyDescent="0.35">
      <c r="A13" s="3" t="s">
        <v>55</v>
      </c>
      <c r="B13" s="12" t="s">
        <v>115</v>
      </c>
      <c r="F13" s="111">
        <v>16.100000000000001</v>
      </c>
      <c r="G13" s="106"/>
      <c r="H13" s="106"/>
      <c r="I13" s="106"/>
      <c r="J13" s="106"/>
      <c r="K13" s="106"/>
      <c r="L13" s="106"/>
      <c r="M13" s="106" t="s">
        <v>217</v>
      </c>
    </row>
    <row r="14" spans="1:14" x14ac:dyDescent="0.35">
      <c r="D14" s="12"/>
    </row>
    <row r="15" spans="1:14" x14ac:dyDescent="0.35">
      <c r="A15" s="44" t="s">
        <v>177</v>
      </c>
      <c r="B15" s="9"/>
    </row>
    <row r="16" spans="1:14" x14ac:dyDescent="0.35">
      <c r="A16" s="3" t="s">
        <v>163</v>
      </c>
      <c r="B16" s="12" t="s">
        <v>89</v>
      </c>
      <c r="F16" s="13">
        <f>'Reported actuals'!M35+'Reported actuals'!M36</f>
        <v>556.75331600500806</v>
      </c>
      <c r="G16" s="116"/>
      <c r="M16" s="3" t="s">
        <v>161</v>
      </c>
    </row>
    <row r="17" spans="1:13" x14ac:dyDescent="0.35">
      <c r="A17" s="3" t="s">
        <v>164</v>
      </c>
      <c r="B17" s="12" t="s">
        <v>89</v>
      </c>
      <c r="F17" s="13">
        <v>170</v>
      </c>
      <c r="M17" s="16" t="s">
        <v>160</v>
      </c>
    </row>
    <row r="18" spans="1:13" x14ac:dyDescent="0.35">
      <c r="A18" s="3" t="s">
        <v>171</v>
      </c>
      <c r="B18" s="12" t="s">
        <v>89</v>
      </c>
      <c r="F18" s="13">
        <f>'Reported actuals'!J37+'Reported actuals'!J38</f>
        <v>32.272676418113498</v>
      </c>
      <c r="G18" s="6"/>
      <c r="M18" s="16" t="s">
        <v>182</v>
      </c>
    </row>
    <row r="19" spans="1:13" x14ac:dyDescent="0.35">
      <c r="A19" s="3" t="s">
        <v>172</v>
      </c>
      <c r="B19" s="12" t="s">
        <v>115</v>
      </c>
      <c r="F19" s="111">
        <v>150</v>
      </c>
      <c r="M19" s="16" t="s">
        <v>181</v>
      </c>
    </row>
    <row r="20" spans="1:13" x14ac:dyDescent="0.35">
      <c r="A20" s="17"/>
      <c r="B20" s="17"/>
      <c r="E20" s="6"/>
    </row>
    <row r="21" spans="1:13" x14ac:dyDescent="0.35">
      <c r="A21" s="3" t="s">
        <v>172</v>
      </c>
      <c r="B21" s="12" t="s">
        <v>89</v>
      </c>
      <c r="E21" s="18"/>
      <c r="F21" s="18">
        <f>F19/F6</f>
        <v>139.63738192163149</v>
      </c>
    </row>
    <row r="22" spans="1:13" x14ac:dyDescent="0.35">
      <c r="A22" s="3" t="s">
        <v>49</v>
      </c>
      <c r="B22" s="12" t="s">
        <v>89</v>
      </c>
      <c r="D22" s="12"/>
      <c r="F22" s="18">
        <f>SUM(F16:F18,F21)</f>
        <v>898.66337434475304</v>
      </c>
    </row>
    <row r="24" spans="1:13" x14ac:dyDescent="0.35">
      <c r="E24" s="19"/>
      <c r="F24" s="19"/>
    </row>
    <row r="27" spans="1:13" x14ac:dyDescent="0.35">
      <c r="H27" s="14"/>
    </row>
    <row r="28" spans="1:13" x14ac:dyDescent="0.35">
      <c r="H28" s="15"/>
    </row>
    <row r="30" spans="1:13" x14ac:dyDescent="0.35">
      <c r="G30" s="18"/>
    </row>
    <row r="31" spans="1:13" ht="18.5" x14ac:dyDescent="0.45">
      <c r="D31" s="5"/>
    </row>
    <row r="33" spans="4:10" x14ac:dyDescent="0.35">
      <c r="D33" s="4"/>
      <c r="E33" s="20"/>
      <c r="F33" s="20"/>
      <c r="G33" s="20"/>
      <c r="H33" s="20"/>
      <c r="I33" s="20"/>
      <c r="J33" s="20"/>
    </row>
    <row r="34" spans="4:10" x14ac:dyDescent="0.35">
      <c r="E34" s="21"/>
      <c r="F34" s="22"/>
      <c r="G34" s="22"/>
      <c r="H34" s="22"/>
      <c r="I34" s="22"/>
      <c r="J34" s="22"/>
    </row>
    <row r="35" spans="4:10" x14ac:dyDescent="0.35">
      <c r="E35" s="21"/>
      <c r="F35" s="23"/>
      <c r="G35" s="22"/>
      <c r="H35" s="22"/>
      <c r="I35" s="22"/>
      <c r="J35" s="22"/>
    </row>
    <row r="36" spans="4:10" x14ac:dyDescent="0.35">
      <c r="E36" s="24"/>
    </row>
    <row r="38" spans="4:10" x14ac:dyDescent="0.35">
      <c r="D38" s="4"/>
      <c r="E38" s="20"/>
      <c r="F38" s="22"/>
      <c r="G38" s="25"/>
      <c r="H38" s="26"/>
      <c r="I38" s="26"/>
      <c r="J38" s="25"/>
    </row>
    <row r="39" spans="4:10" x14ac:dyDescent="0.35">
      <c r="E39" s="11"/>
      <c r="F39" s="22"/>
      <c r="G39" s="22"/>
    </row>
    <row r="40" spans="4:10" x14ac:dyDescent="0.35">
      <c r="E40" s="23"/>
      <c r="F40" s="23"/>
      <c r="G40" s="22"/>
    </row>
    <row r="45" spans="4:10" x14ac:dyDescent="0.35">
      <c r="E45" s="27"/>
      <c r="F45" s="27"/>
    </row>
    <row r="47" spans="4:10" x14ac:dyDescent="0.35">
      <c r="D47" s="4"/>
    </row>
    <row r="48" spans="4:10" x14ac:dyDescent="0.35">
      <c r="E48" s="18"/>
    </row>
    <row r="50" spans="7:10" x14ac:dyDescent="0.35">
      <c r="G50" s="22"/>
      <c r="H50" s="23"/>
      <c r="I50" s="23"/>
      <c r="J50" s="22"/>
    </row>
  </sheetData>
  <sheetProtection algorithmName="SHA-512" hashValue="4cUoaicoc5ldK9w5tmyV/y/nwz3tIxx1gcqyh1VxottL4IgKp34mwVZmaxvwo8BflZEA7Z7UEgIPhZ7t1qHp/g==" saltValue="XMgODmRapCZJpU8myaRnSQ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821C-C55F-4F75-87B7-23C25A8A007D}">
  <dimension ref="A1:P52"/>
  <sheetViews>
    <sheetView topLeftCell="A3" zoomScale="93" workbookViewId="0">
      <selection activeCell="A3" sqref="A1:XFD1048576"/>
    </sheetView>
  </sheetViews>
  <sheetFormatPr defaultColWidth="8.7265625" defaultRowHeight="14.5" outlineLevelRow="1" x14ac:dyDescent="0.35"/>
  <cols>
    <col min="1" max="1" width="2.36328125" style="3" customWidth="1"/>
    <col min="2" max="2" width="50.453125" style="3" customWidth="1"/>
    <col min="3" max="3" width="14.54296875" style="3" customWidth="1"/>
    <col min="4" max="4" width="16.7265625" style="3" bestFit="1" customWidth="1"/>
    <col min="5" max="5" width="8.54296875" style="3" customWidth="1"/>
    <col min="6" max="6" width="2.1796875" style="3" bestFit="1" customWidth="1"/>
    <col min="7" max="7" width="9.81640625" style="3" bestFit="1" customWidth="1"/>
    <col min="8" max="10" width="8.81640625" style="3" bestFit="1" customWidth="1"/>
    <col min="11" max="12" width="7.453125" style="3" bestFit="1" customWidth="1"/>
    <col min="13" max="13" width="13.81640625" style="3" bestFit="1" customWidth="1"/>
    <col min="14" max="16384" width="8.7265625" style="3"/>
  </cols>
  <sheetData>
    <row r="1" spans="1:16" hidden="1" outlineLevel="1" x14ac:dyDescent="0.35">
      <c r="C1" s="6"/>
    </row>
    <row r="2" spans="1:16" hidden="1" outlineLevel="1" x14ac:dyDescent="0.35">
      <c r="E2" s="7">
        <v>0</v>
      </c>
      <c r="F2" s="7" t="s">
        <v>88</v>
      </c>
      <c r="G2" s="7">
        <v>1</v>
      </c>
      <c r="H2" s="7">
        <v>2</v>
      </c>
      <c r="I2" s="7">
        <v>3</v>
      </c>
      <c r="J2" s="7">
        <v>4</v>
      </c>
      <c r="K2" s="7">
        <v>5</v>
      </c>
      <c r="L2" s="7">
        <v>6</v>
      </c>
    </row>
    <row r="3" spans="1:16" ht="51.5" customHeight="1" collapsed="1" x14ac:dyDescent="0.55000000000000004">
      <c r="A3" s="55"/>
      <c r="C3" s="117" t="s">
        <v>190</v>
      </c>
      <c r="D3" s="118" t="s">
        <v>71</v>
      </c>
      <c r="E3" s="118" t="s">
        <v>87</v>
      </c>
      <c r="F3" s="118" t="s">
        <v>88</v>
      </c>
      <c r="G3" s="118" t="s">
        <v>67</v>
      </c>
      <c r="H3" s="118" t="s">
        <v>68</v>
      </c>
      <c r="I3" s="118" t="s">
        <v>56</v>
      </c>
      <c r="J3" s="118" t="s">
        <v>57</v>
      </c>
      <c r="K3" s="118" t="s">
        <v>58</v>
      </c>
      <c r="L3" s="118" t="s">
        <v>42</v>
      </c>
      <c r="M3" s="118" t="s">
        <v>176</v>
      </c>
      <c r="N3" s="118" t="s">
        <v>93</v>
      </c>
      <c r="P3" s="121" t="s">
        <v>186</v>
      </c>
    </row>
    <row r="4" spans="1:16" x14ac:dyDescent="0.35">
      <c r="B4" s="12"/>
    </row>
    <row r="5" spans="1:16" x14ac:dyDescent="0.35">
      <c r="B5" s="112" t="s">
        <v>47</v>
      </c>
    </row>
    <row r="6" spans="1:16" x14ac:dyDescent="0.35">
      <c r="B6" s="12"/>
    </row>
    <row r="7" spans="1:16" x14ac:dyDescent="0.35">
      <c r="B7" s="113" t="s">
        <v>94</v>
      </c>
    </row>
    <row r="8" spans="1:16" x14ac:dyDescent="0.35">
      <c r="B8" s="16"/>
    </row>
    <row r="9" spans="1:16" x14ac:dyDescent="0.35">
      <c r="B9" s="114" t="s">
        <v>70</v>
      </c>
      <c r="C9" s="3" t="s">
        <v>69</v>
      </c>
      <c r="D9" s="23" t="s">
        <v>84</v>
      </c>
      <c r="E9" s="23"/>
      <c r="F9" s="23"/>
      <c r="J9" s="111">
        <v>881.7</v>
      </c>
    </row>
    <row r="10" spans="1:16" x14ac:dyDescent="0.35">
      <c r="B10" s="114"/>
      <c r="D10" s="23"/>
      <c r="E10" s="23"/>
      <c r="F10" s="23"/>
      <c r="J10" s="18"/>
    </row>
    <row r="11" spans="1:16" x14ac:dyDescent="0.35">
      <c r="B11" s="115" t="s">
        <v>188</v>
      </c>
      <c r="C11" s="3" t="s">
        <v>199</v>
      </c>
      <c r="D11" s="3" t="s">
        <v>113</v>
      </c>
      <c r="J11" s="110">
        <v>0.03</v>
      </c>
      <c r="K11" s="110">
        <v>2.4E-2</v>
      </c>
      <c r="L11" s="110">
        <v>1.4999999999999999E-2</v>
      </c>
    </row>
    <row r="12" spans="1:16" x14ac:dyDescent="0.35">
      <c r="B12" s="114" t="s">
        <v>189</v>
      </c>
      <c r="C12" s="13"/>
      <c r="D12" s="3" t="s">
        <v>113</v>
      </c>
      <c r="J12" s="18"/>
      <c r="K12" s="110">
        <v>-8.0000000000000002E-3</v>
      </c>
      <c r="L12" s="119">
        <v>-6.0000000000000001E-3</v>
      </c>
    </row>
    <row r="13" spans="1:16" x14ac:dyDescent="0.35">
      <c r="B13" s="17" t="s">
        <v>72</v>
      </c>
      <c r="C13" s="111"/>
      <c r="D13" s="3" t="s">
        <v>113</v>
      </c>
      <c r="J13" s="18"/>
      <c r="K13" s="119">
        <v>8.9999999999999993E-3</v>
      </c>
      <c r="L13" s="119">
        <v>8.9999999999999993E-3</v>
      </c>
    </row>
    <row r="14" spans="1:16" x14ac:dyDescent="0.35">
      <c r="B14" s="17"/>
      <c r="C14" s="6"/>
      <c r="J14" s="18"/>
    </row>
    <row r="15" spans="1:16" x14ac:dyDescent="0.35">
      <c r="B15" s="3" t="s">
        <v>70</v>
      </c>
      <c r="C15" s="3" t="s">
        <v>200</v>
      </c>
      <c r="D15" s="23" t="s">
        <v>84</v>
      </c>
      <c r="E15" s="23"/>
      <c r="F15" s="23"/>
      <c r="J15" s="18">
        <f>J9</f>
        <v>881.7</v>
      </c>
      <c r="K15" s="18">
        <f>J15*(1+K11+K12)*(1+K13)</f>
        <v>903.86946479999995</v>
      </c>
      <c r="L15" s="18">
        <f>K15*(1+L11+L12)*(1+L13)</f>
        <v>920.2123285930486</v>
      </c>
      <c r="N15" s="3" t="s">
        <v>212</v>
      </c>
    </row>
    <row r="16" spans="1:16" x14ac:dyDescent="0.35">
      <c r="C16" s="19"/>
      <c r="D16" s="19"/>
      <c r="E16" s="19"/>
      <c r="F16" s="19"/>
      <c r="G16" s="19"/>
      <c r="H16" s="19"/>
    </row>
    <row r="17" spans="2:14" x14ac:dyDescent="0.35">
      <c r="B17" s="113" t="s">
        <v>95</v>
      </c>
      <c r="C17" s="101"/>
      <c r="D17" s="10"/>
      <c r="E17" s="10"/>
      <c r="F17" s="10"/>
      <c r="G17" s="10"/>
      <c r="H17" s="10"/>
    </row>
    <row r="19" spans="2:14" x14ac:dyDescent="0.35">
      <c r="B19" s="3" t="s">
        <v>73</v>
      </c>
      <c r="C19" s="3" t="s">
        <v>74</v>
      </c>
      <c r="D19" s="23" t="s">
        <v>84</v>
      </c>
      <c r="E19" s="23"/>
      <c r="F19" s="23"/>
      <c r="J19" s="111">
        <v>323.56799999999998</v>
      </c>
      <c r="K19" s="106"/>
      <c r="L19" s="106"/>
    </row>
    <row r="20" spans="2:14" x14ac:dyDescent="0.35">
      <c r="B20" s="3" t="s">
        <v>191</v>
      </c>
      <c r="D20" s="3" t="s">
        <v>113</v>
      </c>
      <c r="J20" s="106"/>
      <c r="K20" s="120">
        <v>0.02</v>
      </c>
      <c r="L20" s="120">
        <v>0.02</v>
      </c>
    </row>
    <row r="21" spans="2:14" ht="18.5" x14ac:dyDescent="0.45">
      <c r="B21" s="5"/>
    </row>
    <row r="22" spans="2:14" x14ac:dyDescent="0.35">
      <c r="B22" s="3" t="s">
        <v>73</v>
      </c>
      <c r="C22" s="3" t="s">
        <v>200</v>
      </c>
      <c r="D22" s="23" t="s">
        <v>84</v>
      </c>
      <c r="E22" s="23"/>
      <c r="F22" s="23"/>
      <c r="J22" s="18">
        <f>J19</f>
        <v>323.56799999999998</v>
      </c>
      <c r="K22" s="18">
        <f>J22*(1+K20)</f>
        <v>330.03935999999999</v>
      </c>
      <c r="L22" s="27">
        <f>K22*(1+L20)</f>
        <v>336.6401472</v>
      </c>
      <c r="N22" s="3" t="s">
        <v>212</v>
      </c>
    </row>
    <row r="23" spans="2:14" x14ac:dyDescent="0.35">
      <c r="D23" s="23"/>
      <c r="E23" s="23"/>
      <c r="F23" s="23"/>
      <c r="J23" s="18"/>
      <c r="K23" s="18">
        <f>338</f>
        <v>338</v>
      </c>
      <c r="L23" s="18">
        <f>K23*(1+L20)</f>
        <v>344.76</v>
      </c>
    </row>
    <row r="24" spans="2:14" x14ac:dyDescent="0.35">
      <c r="B24" s="112" t="s">
        <v>49</v>
      </c>
      <c r="C24" s="20"/>
      <c r="D24" s="20"/>
      <c r="E24" s="20"/>
      <c r="F24" s="20"/>
      <c r="G24" s="20"/>
      <c r="H24" s="20"/>
      <c r="I24" s="20"/>
      <c r="J24" s="20"/>
    </row>
    <row r="25" spans="2:14" x14ac:dyDescent="0.35">
      <c r="C25" s="21"/>
      <c r="D25" s="22"/>
      <c r="E25" s="22"/>
      <c r="F25" s="22"/>
      <c r="G25" s="22"/>
      <c r="H25" s="22"/>
      <c r="I25" s="22"/>
      <c r="J25" s="22"/>
    </row>
    <row r="26" spans="2:14" x14ac:dyDescent="0.35">
      <c r="B26" s="3" t="s">
        <v>75</v>
      </c>
      <c r="C26" s="3" t="s">
        <v>80</v>
      </c>
      <c r="D26" s="23" t="s">
        <v>84</v>
      </c>
      <c r="E26" s="23"/>
      <c r="F26" s="23"/>
      <c r="G26" s="111">
        <v>368.25099999999998</v>
      </c>
      <c r="H26" s="111">
        <v>381.709</v>
      </c>
      <c r="I26" s="111">
        <v>396.46600000000001</v>
      </c>
      <c r="J26" s="111">
        <v>428.87200000000001</v>
      </c>
      <c r="M26" s="18"/>
    </row>
    <row r="27" spans="2:14" x14ac:dyDescent="0.35">
      <c r="B27" s="3" t="s">
        <v>76</v>
      </c>
      <c r="C27" s="3" t="s">
        <v>81</v>
      </c>
      <c r="D27" s="23" t="s">
        <v>84</v>
      </c>
      <c r="E27" s="23"/>
      <c r="F27" s="23"/>
      <c r="G27" s="111">
        <v>153.166</v>
      </c>
      <c r="H27" s="111">
        <v>154.99199999999999</v>
      </c>
      <c r="I27" s="111">
        <v>158.29</v>
      </c>
      <c r="J27" s="111">
        <v>146.94300000000001</v>
      </c>
    </row>
    <row r="28" spans="2:14" x14ac:dyDescent="0.35">
      <c r="B28" s="3" t="s">
        <v>77</v>
      </c>
      <c r="C28" s="3" t="s">
        <v>82</v>
      </c>
      <c r="D28" s="23" t="s">
        <v>84</v>
      </c>
      <c r="E28" s="23"/>
      <c r="F28" s="23"/>
      <c r="G28" s="111">
        <v>17.158084160000001</v>
      </c>
      <c r="H28" s="111">
        <v>17.647986200000002</v>
      </c>
      <c r="I28" s="111">
        <v>16.598718999999999</v>
      </c>
      <c r="J28" s="111">
        <v>28.677452996500008</v>
      </c>
    </row>
    <row r="29" spans="2:14" x14ac:dyDescent="0.35">
      <c r="B29" s="42" t="s">
        <v>78</v>
      </c>
      <c r="C29" s="3" t="s">
        <v>83</v>
      </c>
      <c r="D29" s="23" t="s">
        <v>84</v>
      </c>
      <c r="E29" s="23"/>
      <c r="F29" s="23"/>
      <c r="G29" s="111">
        <v>153.74299999999999</v>
      </c>
      <c r="H29" s="111">
        <v>149.20099999999999</v>
      </c>
      <c r="I29" s="111">
        <v>151.60300000000001</v>
      </c>
      <c r="J29" s="111">
        <v>150.41900000000001</v>
      </c>
    </row>
    <row r="30" spans="2:14" x14ac:dyDescent="0.35">
      <c r="B30" s="3" t="s">
        <v>79</v>
      </c>
      <c r="C30" s="3" t="s">
        <v>83</v>
      </c>
      <c r="D30" s="23" t="s">
        <v>84</v>
      </c>
      <c r="E30" s="23"/>
      <c r="F30" s="23"/>
      <c r="G30" s="111">
        <v>0</v>
      </c>
      <c r="H30" s="111">
        <v>0</v>
      </c>
      <c r="I30" s="111">
        <v>0</v>
      </c>
      <c r="J30" s="111">
        <v>4.5827673200077621</v>
      </c>
    </row>
    <row r="32" spans="2:14" x14ac:dyDescent="0.35">
      <c r="B32" s="3" t="s">
        <v>85</v>
      </c>
      <c r="E32" s="111">
        <v>244.67499999999998</v>
      </c>
      <c r="F32" s="106"/>
      <c r="G32" s="111">
        <v>259.43333333333334</v>
      </c>
      <c r="H32" s="111">
        <v>264.99166666666673</v>
      </c>
      <c r="I32" s="111">
        <v>274.90833333333336</v>
      </c>
      <c r="J32" s="111">
        <v>283.32052833333336</v>
      </c>
      <c r="K32" s="111">
        <v>290.65898885872116</v>
      </c>
    </row>
    <row r="33" spans="2:13" x14ac:dyDescent="0.35">
      <c r="B33" s="3" t="s">
        <v>86</v>
      </c>
      <c r="F33" s="6"/>
      <c r="G33" s="6">
        <f>$I$32/G32</f>
        <v>1.0596492355132983</v>
      </c>
      <c r="H33" s="6">
        <f>$I$32/H32</f>
        <v>1.037422560457876</v>
      </c>
      <c r="I33" s="6">
        <f>$I$32/I32</f>
        <v>1</v>
      </c>
      <c r="J33" s="6">
        <f>$I$32/J32</f>
        <v>0.97030855812148264</v>
      </c>
    </row>
    <row r="35" spans="2:13" x14ac:dyDescent="0.35">
      <c r="B35" s="3" t="s">
        <v>75</v>
      </c>
      <c r="C35" s="3" t="s">
        <v>80</v>
      </c>
      <c r="D35" s="23" t="s">
        <v>89</v>
      </c>
      <c r="G35" s="18">
        <f>G26*G$33</f>
        <v>390.21689062700756</v>
      </c>
      <c r="H35" s="18">
        <f t="shared" ref="H35:J35" si="0">H26*H$33</f>
        <v>395.99352812981539</v>
      </c>
      <c r="I35" s="18">
        <f t="shared" si="0"/>
        <v>396.46600000000001</v>
      </c>
      <c r="J35" s="18">
        <f t="shared" si="0"/>
        <v>416.13817193867652</v>
      </c>
      <c r="M35" s="18">
        <f>AVERAGE(H35:J35)</f>
        <v>402.86590002283066</v>
      </c>
    </row>
    <row r="36" spans="2:13" x14ac:dyDescent="0.35">
      <c r="B36" s="3" t="s">
        <v>192</v>
      </c>
      <c r="C36" s="3" t="s">
        <v>81</v>
      </c>
      <c r="D36" s="23" t="s">
        <v>89</v>
      </c>
      <c r="G36" s="18">
        <f t="shared" ref="G36:J36" si="1">G27*G$33</f>
        <v>162.30223480662983</v>
      </c>
      <c r="H36" s="18">
        <f t="shared" si="1"/>
        <v>160.7921974904871</v>
      </c>
      <c r="I36" s="18">
        <f t="shared" si="1"/>
        <v>158.29</v>
      </c>
      <c r="J36" s="18">
        <f t="shared" si="1"/>
        <v>142.58005045604503</v>
      </c>
      <c r="M36" s="18">
        <f>AVERAGE(H36:J36)</f>
        <v>153.88741598217737</v>
      </c>
    </row>
    <row r="37" spans="2:13" x14ac:dyDescent="0.35">
      <c r="B37" s="3" t="s">
        <v>77</v>
      </c>
      <c r="C37" s="3" t="s">
        <v>82</v>
      </c>
      <c r="D37" s="23" t="s">
        <v>89</v>
      </c>
      <c r="G37" s="18">
        <f t="shared" ref="G37:J37" si="2">G28*G$33</f>
        <v>18.181550763016833</v>
      </c>
      <c r="H37" s="18">
        <f t="shared" si="2"/>
        <v>18.308419030529262</v>
      </c>
      <c r="I37" s="18">
        <f t="shared" si="2"/>
        <v>16.598718999999999</v>
      </c>
      <c r="J37" s="18">
        <f t="shared" si="2"/>
        <v>27.825978067630516</v>
      </c>
    </row>
    <row r="38" spans="2:13" x14ac:dyDescent="0.35">
      <c r="B38" s="3" t="s">
        <v>79</v>
      </c>
      <c r="C38" s="3" t="s">
        <v>83</v>
      </c>
      <c r="D38" s="23" t="s">
        <v>84</v>
      </c>
      <c r="G38" s="18">
        <f t="shared" ref="G38:I38" si="3">G30*G$33</f>
        <v>0</v>
      </c>
      <c r="H38" s="18">
        <f t="shared" si="3"/>
        <v>0</v>
      </c>
      <c r="I38" s="18">
        <f t="shared" si="3"/>
        <v>0</v>
      </c>
      <c r="J38" s="18">
        <f>J30*J$33</f>
        <v>4.4466983504829827</v>
      </c>
    </row>
    <row r="43" spans="2:13" x14ac:dyDescent="0.35">
      <c r="C43" s="27"/>
      <c r="D43" s="27"/>
      <c r="E43" s="27"/>
      <c r="F43" s="27"/>
    </row>
    <row r="44" spans="2:13" x14ac:dyDescent="0.35">
      <c r="E44" s="6"/>
    </row>
    <row r="45" spans="2:13" x14ac:dyDescent="0.35">
      <c r="B45" s="4"/>
    </row>
    <row r="46" spans="2:13" x14ac:dyDescent="0.35">
      <c r="D46" s="23"/>
      <c r="G46" s="18"/>
      <c r="H46" s="18"/>
      <c r="I46" s="18"/>
      <c r="J46" s="18"/>
    </row>
    <row r="48" spans="2:13" x14ac:dyDescent="0.35">
      <c r="D48" s="23"/>
      <c r="G48" s="18"/>
      <c r="H48" s="18"/>
      <c r="I48" s="18"/>
      <c r="J48" s="18"/>
    </row>
    <row r="50" spans="2:10" x14ac:dyDescent="0.35">
      <c r="D50" s="23"/>
      <c r="G50" s="18"/>
      <c r="H50" s="18"/>
      <c r="I50" s="18"/>
      <c r="J50" s="18"/>
    </row>
    <row r="52" spans="2:10" x14ac:dyDescent="0.35">
      <c r="B52" s="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FF56-4369-46BD-B4F3-BF3813FF751C}">
  <dimension ref="A1:E15"/>
  <sheetViews>
    <sheetView zoomScale="175" zoomScaleNormal="175" workbookViewId="0">
      <selection sqref="A1:XFD1048576"/>
    </sheetView>
  </sheetViews>
  <sheetFormatPr defaultRowHeight="14.5" x14ac:dyDescent="0.35"/>
  <cols>
    <col min="1" max="1" width="9.54296875" style="3" bestFit="1" customWidth="1"/>
    <col min="2" max="2" width="72.7265625" style="3" bestFit="1" customWidth="1"/>
    <col min="3" max="3" width="35.54296875" style="3" bestFit="1" customWidth="1"/>
    <col min="4" max="4" width="19.7265625" style="3" bestFit="1" customWidth="1"/>
    <col min="5" max="5" width="23.1796875" style="3" bestFit="1" customWidth="1"/>
    <col min="6" max="16384" width="8.7265625" style="3"/>
  </cols>
  <sheetData>
    <row r="1" spans="1:5" x14ac:dyDescent="0.35">
      <c r="A1" s="4" t="s">
        <v>59</v>
      </c>
    </row>
    <row r="3" spans="1:5" x14ac:dyDescent="0.35">
      <c r="A3" s="3" t="s">
        <v>66</v>
      </c>
      <c r="B3" s="3" t="s">
        <v>61</v>
      </c>
      <c r="C3" s="3" t="s">
        <v>63</v>
      </c>
      <c r="D3" s="3" t="s">
        <v>64</v>
      </c>
    </row>
    <row r="4" spans="1:5" x14ac:dyDescent="0.35">
      <c r="A4" s="3" t="s">
        <v>60</v>
      </c>
      <c r="B4" s="3" t="s">
        <v>62</v>
      </c>
      <c r="C4" s="33" t="s">
        <v>104</v>
      </c>
      <c r="D4" s="17" t="s">
        <v>222</v>
      </c>
    </row>
    <row r="5" spans="1:5" x14ac:dyDescent="0.35">
      <c r="C5" s="33" t="s">
        <v>65</v>
      </c>
      <c r="D5" s="17" t="s">
        <v>222</v>
      </c>
    </row>
    <row r="6" spans="1:5" x14ac:dyDescent="0.35">
      <c r="C6" s="33" t="s">
        <v>103</v>
      </c>
      <c r="D6" s="17" t="s">
        <v>222</v>
      </c>
    </row>
    <row r="7" spans="1:5" x14ac:dyDescent="0.35">
      <c r="C7" s="33" t="s">
        <v>102</v>
      </c>
      <c r="D7" s="17" t="s">
        <v>222</v>
      </c>
    </row>
    <row r="8" spans="1:5" x14ac:dyDescent="0.35">
      <c r="B8" s="3" t="s">
        <v>90</v>
      </c>
      <c r="C8" s="17" t="s">
        <v>91</v>
      </c>
      <c r="D8" s="17" t="s">
        <v>222</v>
      </c>
    </row>
    <row r="9" spans="1:5" x14ac:dyDescent="0.35">
      <c r="A9" s="3" t="s">
        <v>99</v>
      </c>
      <c r="B9" s="3" t="s">
        <v>96</v>
      </c>
      <c r="C9" s="33" t="s">
        <v>98</v>
      </c>
      <c r="D9" s="17" t="s">
        <v>222</v>
      </c>
      <c r="E9" s="88"/>
    </row>
    <row r="10" spans="1:5" x14ac:dyDescent="0.35">
      <c r="B10" s="3" t="s">
        <v>97</v>
      </c>
      <c r="C10" s="33" t="s">
        <v>101</v>
      </c>
      <c r="D10" s="17" t="s">
        <v>222</v>
      </c>
      <c r="E10" s="88"/>
    </row>
    <row r="11" spans="1:5" x14ac:dyDescent="0.35">
      <c r="A11" s="3" t="s">
        <v>100</v>
      </c>
      <c r="B11" s="3" t="s">
        <v>234</v>
      </c>
      <c r="C11" s="33" t="s">
        <v>105</v>
      </c>
      <c r="D11" s="17" t="s">
        <v>222</v>
      </c>
      <c r="E11" s="88"/>
    </row>
    <row r="12" spans="1:5" x14ac:dyDescent="0.35">
      <c r="C12" s="33" t="s">
        <v>106</v>
      </c>
      <c r="D12" s="17" t="s">
        <v>222</v>
      </c>
      <c r="E12" s="88"/>
    </row>
    <row r="13" spans="1:5" x14ac:dyDescent="0.35">
      <c r="A13" s="3" t="s">
        <v>108</v>
      </c>
      <c r="B13" s="3" t="s">
        <v>235</v>
      </c>
      <c r="C13" s="33" t="s">
        <v>109</v>
      </c>
      <c r="D13" s="17" t="s">
        <v>222</v>
      </c>
      <c r="E13" s="88"/>
    </row>
    <row r="14" spans="1:5" x14ac:dyDescent="0.35">
      <c r="A14" s="3" t="s">
        <v>178</v>
      </c>
      <c r="B14" s="3" t="s">
        <v>184</v>
      </c>
      <c r="C14" s="3" t="s">
        <v>187</v>
      </c>
      <c r="D14" s="17" t="s">
        <v>222</v>
      </c>
      <c r="E14" s="88"/>
    </row>
    <row r="15" spans="1:5" ht="29" x14ac:dyDescent="0.35">
      <c r="A15" s="137" t="s">
        <v>218</v>
      </c>
      <c r="B15" s="137" t="s">
        <v>219</v>
      </c>
      <c r="C15" s="138" t="s">
        <v>220</v>
      </c>
      <c r="D15" s="17" t="s">
        <v>222</v>
      </c>
      <c r="E15" s="139"/>
    </row>
  </sheetData>
  <sheetProtection algorithmName="SHA-512" hashValue="riII2SpFCZDhySLyLOPG9N9f9Ua77S3rrKIcR+Vg4Uf8m3dHC+D8PhRBxl5RSLFp7LUIS6JVglB/KPm5PT+gFA==" saltValue="yQg9f9cCax0Vl5xTXiD+Tw==" spinCount="100000" sheet="1" objects="1" scenarios="1"/>
  <phoneticPr fontId="19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61CB-5BA0-4C29-9F03-52FD361BE4EB}">
  <sheetPr codeName="Sheet2"/>
  <dimension ref="A1:AO11"/>
  <sheetViews>
    <sheetView workbookViewId="0"/>
  </sheetViews>
  <sheetFormatPr defaultRowHeight="14.5" x14ac:dyDescent="0.35"/>
  <sheetData>
    <row r="1" spans="1:41" x14ac:dyDescent="0.35">
      <c r="A1">
        <v>1</v>
      </c>
      <c r="B1">
        <v>0</v>
      </c>
    </row>
    <row r="2" spans="1:41" x14ac:dyDescent="0.35">
      <c r="A2" s="1">
        <v>0</v>
      </c>
      <c r="G2" s="1"/>
    </row>
    <row r="3" spans="1:41" x14ac:dyDescent="0.35">
      <c r="A3" s="2" t="e">
        <f ca="1">'Control Sheet'!$F$28</f>
        <v>#NAME?</v>
      </c>
      <c r="B3" t="b">
        <v>1</v>
      </c>
      <c r="C3">
        <v>0</v>
      </c>
      <c r="D3">
        <v>1</v>
      </c>
      <c r="E3" t="s">
        <v>107</v>
      </c>
      <c r="F3">
        <v>1</v>
      </c>
      <c r="G3">
        <v>0</v>
      </c>
      <c r="H3">
        <v>0</v>
      </c>
      <c r="J3" t="s">
        <v>0</v>
      </c>
      <c r="K3" t="s">
        <v>1</v>
      </c>
      <c r="L3" t="s">
        <v>2</v>
      </c>
      <c r="AG3" s="2" t="e">
        <f ca="1">'Control Sheet'!$F$28</f>
        <v>#NAME?</v>
      </c>
      <c r="AH3">
        <v>1</v>
      </c>
      <c r="AI3">
        <v>1</v>
      </c>
      <c r="AJ3" t="b">
        <v>0</v>
      </c>
      <c r="AK3" t="b">
        <v>1</v>
      </c>
      <c r="AL3">
        <v>0</v>
      </c>
      <c r="AM3" t="b">
        <v>0</v>
      </c>
      <c r="AN3" t="e">
        <f>_</f>
        <v>#NAME?</v>
      </c>
    </row>
    <row r="4" spans="1:41" x14ac:dyDescent="0.35">
      <c r="A4" s="2">
        <v>0</v>
      </c>
      <c r="AG4" s="2"/>
    </row>
    <row r="5" spans="1:41" x14ac:dyDescent="0.35">
      <c r="A5" s="2" t="b">
        <v>0</v>
      </c>
      <c r="B5">
        <v>16800</v>
      </c>
      <c r="C5">
        <v>8234.875</v>
      </c>
      <c r="D5">
        <v>5760</v>
      </c>
      <c r="E5">
        <v>0</v>
      </c>
      <c r="AG5" s="2"/>
      <c r="AO5" s="2"/>
    </row>
    <row r="6" spans="1:41" x14ac:dyDescent="0.35">
      <c r="A6" s="1" t="b">
        <v>0</v>
      </c>
      <c r="B6">
        <v>16800</v>
      </c>
      <c r="C6">
        <v>8234.875</v>
      </c>
      <c r="D6">
        <v>5760</v>
      </c>
      <c r="E6">
        <v>0</v>
      </c>
      <c r="AG6" s="1"/>
    </row>
    <row r="7" spans="1:41" x14ac:dyDescent="0.35">
      <c r="A7" s="1" t="b">
        <v>0</v>
      </c>
      <c r="B7">
        <v>16800</v>
      </c>
      <c r="C7">
        <v>8234.875</v>
      </c>
      <c r="D7">
        <v>5760</v>
      </c>
      <c r="E7">
        <v>0</v>
      </c>
      <c r="AG7" s="1"/>
      <c r="AO7" s="1"/>
    </row>
    <row r="8" spans="1:41" x14ac:dyDescent="0.35">
      <c r="A8" s="1" t="b">
        <v>0</v>
      </c>
      <c r="B8">
        <v>16800</v>
      </c>
      <c r="C8">
        <v>8234.875</v>
      </c>
      <c r="D8">
        <v>5760</v>
      </c>
      <c r="E8">
        <v>0</v>
      </c>
      <c r="AG8" s="1"/>
      <c r="AO8" s="1"/>
    </row>
    <row r="9" spans="1:41" x14ac:dyDescent="0.35">
      <c r="A9" s="2" t="b">
        <v>0</v>
      </c>
      <c r="B9">
        <v>16800</v>
      </c>
      <c r="C9">
        <v>8234.875</v>
      </c>
      <c r="D9">
        <v>5760</v>
      </c>
      <c r="E9">
        <v>0</v>
      </c>
      <c r="AG9" s="2"/>
      <c r="AO9" s="2"/>
    </row>
    <row r="10" spans="1:41" x14ac:dyDescent="0.35">
      <c r="A10">
        <v>0</v>
      </c>
    </row>
    <row r="11" spans="1:41" x14ac:dyDescent="0.35">
      <c r="A11">
        <v>0</v>
      </c>
      <c r="B11" t="b">
        <v>0</v>
      </c>
      <c r="C11" t="b">
        <v>0</v>
      </c>
      <c r="D11">
        <v>10</v>
      </c>
      <c r="E11">
        <v>0.95</v>
      </c>
      <c r="F1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fc5cf3b-63a0-41eb-9e2d-d2b6491b4379"/>
    <n70e42a9bc7847e39bf54d9b9f99ae04 xmlns="dfc5cf3b-63a0-41eb-9e2d-d2b6491b4379">
      <Terms xmlns="http://schemas.microsoft.com/office/infopath/2007/PartnerControls"/>
    </n70e42a9bc7847e39bf54d9b9f99ae04>
    <Type_x0020_of_x0020_doc xmlns="288dc7ab-520d-4eb9-98c2-a63fed96acef" xsi:nil="true"/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CFB2C728A5F4C8BBE6A24FE0E6FCE" ma:contentTypeVersion="18" ma:contentTypeDescription="Create a new document." ma:contentTypeScope="" ma:versionID="4db3031411a08e11e777c1d60d5d846b">
  <xsd:schema xmlns:xsd="http://www.w3.org/2001/XMLSchema" xmlns:xs="http://www.w3.org/2001/XMLSchema" xmlns:p="http://schemas.microsoft.com/office/2006/metadata/properties" xmlns:ns1="http://schemas.microsoft.com/sharepoint/v3" xmlns:ns2="dfc5cf3b-63a0-41eb-9e2d-d2b6491b4379" xmlns:ns3="288dc7ab-520d-4eb9-98c2-a63fed96acef" targetNamespace="http://schemas.microsoft.com/office/2006/metadata/properties" ma:root="true" ma:fieldsID="c9db18201e4439bd9210817503bdeb69" ns1:_="" ns2:_="" ns3:_="">
    <xsd:import namespace="http://schemas.microsoft.com/sharepoint/v3"/>
    <xsd:import namespace="dfc5cf3b-63a0-41eb-9e2d-d2b6491b4379"/>
    <xsd:import namespace="288dc7ab-520d-4eb9-98c2-a63fed96acef"/>
    <xsd:element name="properties">
      <xsd:complexType>
        <xsd:sequence>
          <xsd:element name="documentManagement">
            <xsd:complexType>
              <xsd:all>
                <xsd:element ref="ns2:n70e42a9bc7847e39bf54d9b9f99ae04" minOccurs="0"/>
                <xsd:element ref="ns2:TaxCatchAll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Type_x0020_of_x0020_doc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n70e42a9bc7847e39bf54d9b9f99ae04" ma:index="9" nillable="true" ma:taxonomy="true" ma:internalName="n70e42a9bc7847e39bf54d9b9f99ae04" ma:taxonomyFieldName="Review_x0020_Period" ma:displayName="Review Period" ma:indexed="true" ma:default="" ma:fieldId="{770e42a9-bc78-47e3-9bf5-4d9b9f99ae04}" ma:sspId="f924a736-b285-4c68-8cdb-5ccf3ff341b6" ma:termSetId="ae5d3d12-d233-4495-96ee-682d1d36f9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c7ab-520d-4eb9-98c2-a63fed96a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Type_x0020_of_x0020_doc" ma:index="19" nillable="true" ma:displayName="Type of doc" ma:internalName="Type_x0020_of_x0020_doc">
      <xsd:simpleType>
        <xsd:restriction base="dms:Choice">
          <xsd:enumeration value="Quantitative KPIs"/>
          <xsd:enumeration value="Qualitative KPIs"/>
          <xsd:enumeration value="Dashboard"/>
          <xsd:enumeration value="Map &amp; other docs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3E784-CA5C-4545-9F31-AECA66E84FE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dfc5cf3b-63a0-41eb-9e2d-d2b6491b4379"/>
    <ds:schemaRef ds:uri="http://schemas.openxmlformats.org/package/2006/metadata/core-properties"/>
    <ds:schemaRef ds:uri="288dc7ab-520d-4eb9-98c2-a63fed96acef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9ABA7E-BA0F-4F1E-9015-9249D094DFE8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5ED6380E-9CE8-4E8C-A509-F8266C79B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c5cf3b-63a0-41eb-9e2d-d2b6491b4379"/>
    <ds:schemaRef ds:uri="288dc7ab-520d-4eb9-98c2-a63fed96a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BE17A2-20E9-45C8-A297-AC50E04741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Control Sheet</vt:lpstr>
      <vt:lpstr>Model</vt:lpstr>
      <vt:lpstr>Supplementary inputs</vt:lpstr>
      <vt:lpstr>Reported actuals</vt:lpstr>
      <vt:lpstr>Model log</vt:lpstr>
      <vt:lpstr>RiskSerializationData</vt:lpstr>
      <vt:lpstr>capex</vt:lpstr>
      <vt:lpstr>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Furse</dc:creator>
  <cp:keywords/>
  <dc:description/>
  <cp:lastModifiedBy>David Galloway</cp:lastModifiedBy>
  <cp:revision/>
  <cp:lastPrinted>2020-01-09T11:36:02Z</cp:lastPrinted>
  <dcterms:created xsi:type="dcterms:W3CDTF">2018-12-04T16:59:54Z</dcterms:created>
  <dcterms:modified xsi:type="dcterms:W3CDTF">2021-01-19T13:51:43Z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0x010100208CFB2C728A5F4C8BBE6A24FE0E6FCE</vt:lpwstr>
  </property>
  <property fmtid="{D5CDD505-2E9C-101B-9397-08002B2CF9AE}" pid="3" name="Review Period">
    <vt:lpwstr/>
  </property>
</Properties>
</file>